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2B191BA-D4D3-4717-B8B5-5D8D054CC2E9}" xr6:coauthVersionLast="47" xr6:coauthVersionMax="47" xr10:uidLastSave="{00000000-0000-0000-0000-000000000000}"/>
  <bookViews>
    <workbookView xWindow="1965" yWindow="1005" windowWidth="36060" windowHeight="19710" firstSheet="48" activeTab="53"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Dairy" sheetId="82" r:id="rId6"/>
    <sheet name="Input - Livestock sales" sheetId="77" r:id="rId7"/>
    <sheet name="Input - Dairy cattle purchases" sheetId="115" r:id="rId8"/>
    <sheet name="Input - Pasture" sheetId="111" r:id="rId9"/>
    <sheet name="Input - Fert Prod System" sheetId="76" r:id="rId10"/>
    <sheet name="Input - Fertiliser" sheetId="93" r:id="rId11"/>
    <sheet name="Input - Fuel" sheetId="104" r:id="rId12"/>
    <sheet name="Input - Electricity" sheetId="101" r:id="rId13"/>
    <sheet name="Input - Common farm inputs" sheetId="116" r:id="rId14"/>
    <sheet name="Input - Crop pasture farm input" sheetId="117" r:id="rId15"/>
    <sheet name="Input - Livestock farm Inputs" sheetId="118" r:id="rId16"/>
    <sheet name="Input - Freight" sheetId="119" r:id="rId17"/>
    <sheet name="Input - Solid waste" sheetId="108" r:id="rId18"/>
    <sheet name="Input - Manure sent off-site" sheetId="120" r:id="rId19"/>
    <sheet name="3.3.1.1-2 Enteric Methane" sheetId="92" r:id="rId20"/>
    <sheet name="4.3.1.1-2 Methane" sheetId="83" r:id="rId21"/>
    <sheet name="4.3.1.3-4 Direct N20" sheetId="84" r:id="rId22"/>
    <sheet name="4.3.1.5 Atmos deposition" sheetId="85" r:id="rId23"/>
    <sheet name="4.3.1.6-7 Leaching and runoff" sheetId="86" r:id="rId24"/>
    <sheet name="4.3.1.8 Manure applied to soils" sheetId="87" r:id="rId25"/>
    <sheet name="4.3.1.9 Soil direct N2O" sheetId="88" r:id="rId26"/>
    <sheet name="4.3.1.10-11 Soil Atmos Dep" sheetId="89" r:id="rId27"/>
    <sheet name="4.3.1.12-13 Soil leach runoff" sheetId="90" r:id="rId28"/>
    <sheet name="5.1.1.1-2 Inorganic fert N2O" sheetId="94" r:id="rId29"/>
    <sheet name="5.1.1.3-4 Inorganic fert CO2" sheetId="95" r:id="rId30"/>
    <sheet name="5.2.1.1-2 Organic Fert N2O" sheetId="96" r:id="rId31"/>
    <sheet name="5.3.1.1-2 Lime CO2" sheetId="97" r:id="rId32"/>
    <sheet name="5.4.1.1-4 Atmos deposition" sheetId="98" r:id="rId33"/>
    <sheet name="5.5.1.1-2 Leaching and runoff" sheetId="99" r:id="rId34"/>
    <sheet name="6.2.1.1-2 Pasture residue N2O" sheetId="112" r:id="rId35"/>
    <sheet name="6.3.1.1-2 Leach runoff pasture" sheetId="113" r:id="rId36"/>
    <sheet name="8.1.1.1-2 Transport fuel" sheetId="105" r:id="rId37"/>
    <sheet name="8.2.1.1-2 Stationary fuel" sheetId="106" r:id="rId38"/>
    <sheet name="10.1.1-2 Solid waste treatment" sheetId="109" r:id="rId39"/>
    <sheet name="14.1.1-2 Purchased electricity" sheetId="102" r:id="rId40"/>
    <sheet name="15 Scope 3" sheetId="121" r:id="rId41"/>
    <sheet name="Calcs - Manure sent off-site" sheetId="122" r:id="rId42"/>
    <sheet name="Constants - Dairy" sheetId="91" r:id="rId43"/>
    <sheet name="Constants - Ag Residue" sheetId="114" r:id="rId44"/>
    <sheet name="Constants - Common Livestock" sheetId="124" r:id="rId45"/>
    <sheet name="Constants - Electricity" sheetId="103" r:id="rId46"/>
    <sheet name="Constants - Fertiliser" sheetId="100" r:id="rId47"/>
    <sheet name="Constants - Fuel" sheetId="107" r:id="rId48"/>
    <sheet name="Constants - Scope 3" sheetId="123" r:id="rId49"/>
    <sheet name="Constants - Common" sheetId="79" r:id="rId50"/>
    <sheet name="Results" sheetId="81" r:id="rId51"/>
    <sheet name="Constants - Solid Waste" sheetId="110" r:id="rId52"/>
    <sheet name="Acknowledgements" sheetId="125" r:id="rId53"/>
    <sheet name="Input - Data quality" sheetId="78" r:id="rId54"/>
  </sheets>
  <definedNames>
    <definedName name="_Toc225350871" localSheetId="32">'5.4.1.1-4 Atmos deposition'!$C$1</definedName>
    <definedName name="_Toc225350871" localSheetId="33">'5.5.1.1-2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 localSheetId="40">_xlfn.LAMBDA(_xlpm.Mburnc,_xlpm.CCc,_xlpm.EFCH4,_xlpm.C_CH4, _xlpm.Mburnc * _xlpm.CCc * _xlpm.EFCH4 * _xlpm.C_CH4 * 10 ^ (-3))</definedName>
    <definedName name="AgResidue_Equations_FieldBurning.VEERG_6_4_1_1__1__MethaneEmissionsFromBurningOfCropResidues" localSheetId="41">_xlfn.LAMBDA(_xlpm.Mburnc,_xlpm.CCc,_xlpm.EFCH4,_xlpm.C_CH4, _xlpm.Mburnc * _xlpm.CCc * _xlpm.EFCH4 * _xlpm.C_CH4 * 10 ^ (-3))</definedName>
    <definedName name="AgResidue_Equations_FieldBurning.VEERG_6_4_1_1__1__MethaneEmissionsFromBurningOfCropResidues" localSheetId="48">_xlfn.LAMBDA(_xlpm.Mburnc,_xlpm.CCc,_xlpm.EFCH4,_xlpm.C_CH4, _xlpm.Mburnc * _xlpm.CCc * _xlpm.EFCH4 * _xlpm.C_CH4 * 10 ^ (-3))</definedName>
    <definedName name="AgResidue_Equations_FieldBurning.VEERG_6_4_1_1__1__MethaneEmissionsFromBurningOfCropResidues" localSheetId="13">_xlfn.LAMBDA(_xlpm.Mburnc,_xlpm.CCc,_xlpm.EFCH4,_xlpm.C_CH4, _xlpm.Mburnc * _xlpm.CCc * _xlpm.EFCH4 * _xlpm.C_CH4 * 10 ^ (-3))</definedName>
    <definedName name="AgResidue_Equations_FieldBurning.VEERG_6_4_1_1__1__MethaneEmissionsFromBurningOfCropResidues" localSheetId="14">_xlfn.LAMBDA(_xlpm.Mburnc,_xlpm.CCc,_xlpm.EFCH4,_xlpm.C_CH4, _xlpm.Mburnc * _xlpm.CCc * _xlpm.EFCH4 * _xlpm.C_CH4 * 10 ^ (-3))</definedName>
    <definedName name="AgResidue_Equations_FieldBurning.VEERG_6_4_1_1__1__MethaneEmissionsFromBurningOfCropResidues" localSheetId="7">_xlfn.LAMBDA(_xlpm.Mburnc,_xlpm.CCc,_xlpm.EFCH4,_xlpm.C_CH4, _xlpm.Mburnc * _xlpm.CCc * _xlpm.EFCH4 * _xlpm.C_CH4 * 10 ^ (-3))</definedName>
    <definedName name="AgResidue_Equations_FieldBurning.VEERG_6_4_1_1__1__MethaneEmissionsFromBurningOfCropResidues" localSheetId="16">_xlfn.LAMBDA(_xlpm.Mburnc,_xlpm.CCc,_xlpm.EFCH4,_xlpm.C_CH4, _xlpm.Mburnc * _xlpm.CCc * _xlpm.EFCH4 * _xlpm.C_CH4 * 10 ^ (-3))</definedName>
    <definedName name="AgResidue_Equations_FieldBurning.VEERG_6_4_1_1__1__MethaneEmissionsFromBurningOfCropResidues" localSheetId="15">_xlfn.LAMBDA(_xlpm.Mburnc,_xlpm.CCc,_xlpm.EFCH4,_xlpm.C_CH4, _xlpm.Mburnc * _xlpm.CCc * _xlpm.EFCH4 * _xlpm.C_CH4 * 10 ^ (-3))</definedName>
    <definedName name="AgResidue_Equations_FieldBurning.VEERG_6_4_1_1__1__MethaneEmissionsFromBurningOfCropResidues" localSheetId="18">_xlfn.LAMBDA(_xlpm.Mburnc,_xlpm.CCc,_xlpm.EFCH4,_xlpm.C_CH4, _xlpm.Mburnc * _xlpm.CCc * _xlpm.EFCH4 * _xlpm.C_CH4 * 10 ^ (-3))</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 localSheetId="40">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41">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48">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3">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4">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6">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5">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8">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40">_xlfn.LAMBDA("E_{CH4}=\sum_{c}(M_{burn,c}\times CC_{c}\times EF_{CH4}\times C_{CH4}\times 10^{-3})")</definedName>
    <definedName name="AgResidue_Equations_FieldBurning.VEERG_6_4_1_1__1__MethaneEmissionsFromBurningOfCropResidues_LatexEquation" localSheetId="41">_xlfn.LAMBDA("E_{CH4}=\sum_{c}(M_{burn,c}\times CC_{c}\times EF_{CH4}\times C_{CH4}\times 10^{-3})")</definedName>
    <definedName name="AgResidue_Equations_FieldBurning.VEERG_6_4_1_1__1__MethaneEmissionsFromBurningOfCropResidues_LatexEquation" localSheetId="48">_xlfn.LAMBDA("E_{CH4}=\sum_{c}(M_{burn,c}\times CC_{c}\times EF_{CH4}\times C_{CH4}\times 10^{-3})")</definedName>
    <definedName name="AgResidue_Equations_FieldBurning.VEERG_6_4_1_1__1__MethaneEmissionsFromBurningOfCropResidues_LatexEquation" localSheetId="13">_xlfn.LAMBDA("E_{CH4}=\sum_{c}(M_{burn,c}\times CC_{c}\times EF_{CH4}\times C_{CH4}\times 10^{-3})")</definedName>
    <definedName name="AgResidue_Equations_FieldBurning.VEERG_6_4_1_1__1__MethaneEmissionsFromBurningOfCropResidues_LatexEquation" localSheetId="14">_xlfn.LAMBDA("E_{CH4}=\sum_{c}(M_{burn,c}\times CC_{c}\times EF_{CH4}\times C_{CH4}\times 10^{-3})")</definedName>
    <definedName name="AgResidue_Equations_FieldBurning.VEERG_6_4_1_1__1__MethaneEmissionsFromBurningOfCropResidues_LatexEquation" localSheetId="7">_xlfn.LAMBDA("E_{CH4}=\sum_{c}(M_{burn,c}\times CC_{c}\times EF_{CH4}\times C_{CH4}\times 10^{-3})")</definedName>
    <definedName name="AgResidue_Equations_FieldBurning.VEERG_6_4_1_1__1__MethaneEmissionsFromBurningOfCropResidues_LatexEquation" localSheetId="16">_xlfn.LAMBDA("E_{CH4}=\sum_{c}(M_{burn,c}\times CC_{c}\times EF_{CH4}\times C_{CH4}\times 10^{-3})")</definedName>
    <definedName name="AgResidue_Equations_FieldBurning.VEERG_6_4_1_1__1__MethaneEmissionsFromBurningOfCropResidues_LatexEquation" localSheetId="15">_xlfn.LAMBDA("E_{CH4}=\sum_{c}(M_{burn,c}\times CC_{c}\times EF_{CH4}\times C_{CH4}\times 10^{-3})")</definedName>
    <definedName name="AgResidue_Equations_FieldBurning.VEERG_6_4_1_1__1__MethaneEmissionsFromBurningOfCropResidues_LatexEquation" localSheetId="18">_xlfn.LAMBDA("E_{CH4}=\sum_{c}(M_{burn,c}\times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40">_xlfn.LAMBDA(_xlpm.Mburnc,_xlpm.NCAGc,_xlpm.EFN2O,_xlpm.CN2O, _xlpm.Mburnc * _xlpm.NCAGc * _xlpm.EFN2O * _xlpm.CN2O * 10 ^ (-3))</definedName>
    <definedName name="AgResidue_Equations_FieldBurning.VEERG_6_4_1_1__2__NitrousOxideEmissionsFromBurningOfCropResidues" localSheetId="41">_xlfn.LAMBDA(_xlpm.Mburnc,_xlpm.NCAGc,_xlpm.EFN2O,_xlpm.CN2O, _xlpm.Mburnc * _xlpm.NCAGc * _xlpm.EFN2O * _xlpm.CN2O * 10 ^ (-3))</definedName>
    <definedName name="AgResidue_Equations_FieldBurning.VEERG_6_4_1_1__2__NitrousOxideEmissionsFromBurningOfCropResidues" localSheetId="48">_xlfn.LAMBDA(_xlpm.Mburnc,_xlpm.NCAGc,_xlpm.EFN2O,_xlpm.CN2O, _xlpm.Mburnc * _xlpm.NCAGc * _xlpm.EFN2O * _xlpm.CN2O * 10 ^ (-3))</definedName>
    <definedName name="AgResidue_Equations_FieldBurning.VEERG_6_4_1_1__2__NitrousOxideEmissionsFromBurningOfCropResidues" localSheetId="13">_xlfn.LAMBDA(_xlpm.Mburnc,_xlpm.NCAGc,_xlpm.EFN2O,_xlpm.CN2O, _xlpm.Mburnc * _xlpm.NCAGc * _xlpm.EFN2O * _xlpm.CN2O * 10 ^ (-3))</definedName>
    <definedName name="AgResidue_Equations_FieldBurning.VEERG_6_4_1_1__2__NitrousOxideEmissionsFromBurningOfCropResidues" localSheetId="14">_xlfn.LAMBDA(_xlpm.Mburnc,_xlpm.NCAGc,_xlpm.EFN2O,_xlpm.CN2O, _xlpm.Mburnc * _xlpm.NCAGc * _xlpm.EFN2O * _xlpm.CN2O * 10 ^ (-3))</definedName>
    <definedName name="AgResidue_Equations_FieldBurning.VEERG_6_4_1_1__2__NitrousOxideEmissionsFromBurningOfCropResidues" localSheetId="7">_xlfn.LAMBDA(_xlpm.Mburnc,_xlpm.NCAGc,_xlpm.EFN2O,_xlpm.CN2O, _xlpm.Mburnc * _xlpm.NCAGc * _xlpm.EFN2O * _xlpm.CN2O * 10 ^ (-3))</definedName>
    <definedName name="AgResidue_Equations_FieldBurning.VEERG_6_4_1_1__2__NitrousOxideEmissionsFromBurningOfCropResidues" localSheetId="16">_xlfn.LAMBDA(_xlpm.Mburnc,_xlpm.NCAGc,_xlpm.EFN2O,_xlpm.CN2O, _xlpm.Mburnc * _xlpm.NCAGc * _xlpm.EFN2O * _xlpm.CN2O * 10 ^ (-3))</definedName>
    <definedName name="AgResidue_Equations_FieldBurning.VEERG_6_4_1_1__2__NitrousOxideEmissionsFromBurningOfCropResidues" localSheetId="15">_xlfn.LAMBDA(_xlpm.Mburnc,_xlpm.NCAGc,_xlpm.EFN2O,_xlpm.CN2O, _xlpm.Mburnc * _xlpm.NCAGc * _xlpm.EFN2O * _xlpm.CN2O * 10 ^ (-3))</definedName>
    <definedName name="AgResidue_Equations_FieldBurning.VEERG_6_4_1_1__2__NitrousOxideEmissionsFromBurningOfCropResidues" localSheetId="18">_xlfn.LAMBDA(_xlpm.Mburnc,_xlpm.NCAGc,_xlpm.EFN2O,_xlpm.CN2O, _xlpm.Mburnc * _xlpm.NCAGc * _xlpm.EFN2O * _xlpm.CN2O * 10 ^ (-3))</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 localSheetId="40">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41">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48">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3">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4">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6">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5">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8">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40">_xlfn.LAMBDA("E_{N2O}=\sum_{c}(M_{burn,c}\times NC_{AGc}\times EF_{N2O}\times C_{N2O}\times 10^{-3})")</definedName>
    <definedName name="AgResidue_Equations_FieldBurning.VEERG_6_4_1_1__2__NitrousOxideEmissionsFromBurningOfCropResidues_LatexEquation" localSheetId="41">_xlfn.LAMBDA("E_{N2O}=\sum_{c}(M_{burn,c}\times NC_{AGc}\times EF_{N2O}\times C_{N2O}\times 10^{-3})")</definedName>
    <definedName name="AgResidue_Equations_FieldBurning.VEERG_6_4_1_1__2__NitrousOxideEmissionsFromBurningOfCropResidues_LatexEquation" localSheetId="48">_xlfn.LAMBDA("E_{N2O}=\sum_{c}(M_{burn,c}\times NC_{AGc}\times EF_{N2O}\times C_{N2O}\times 10^{-3})")</definedName>
    <definedName name="AgResidue_Equations_FieldBurning.VEERG_6_4_1_1__2__NitrousOxideEmissionsFromBurningOfCropResidues_LatexEquation" localSheetId="13">_xlfn.LAMBDA("E_{N2O}=\sum_{c}(M_{burn,c}\times NC_{AGc}\times EF_{N2O}\times C_{N2O}\times 10^{-3})")</definedName>
    <definedName name="AgResidue_Equations_FieldBurning.VEERG_6_4_1_1__2__NitrousOxideEmissionsFromBurningOfCropResidues_LatexEquation" localSheetId="14">_xlfn.LAMBDA("E_{N2O}=\sum_{c}(M_{burn,c}\times NC_{AGc}\times EF_{N2O}\times C_{N2O}\times 10^{-3})")</definedName>
    <definedName name="AgResidue_Equations_FieldBurning.VEERG_6_4_1_1__2__NitrousOxideEmissionsFromBurningOfCropResidues_LatexEquation" localSheetId="7">_xlfn.LAMBDA("E_{N2O}=\sum_{c}(M_{burn,c}\times NC_{AGc}\times EF_{N2O}\times C_{N2O}\times 10^{-3})")</definedName>
    <definedName name="AgResidue_Equations_FieldBurning.VEERG_6_4_1_1__2__NitrousOxideEmissionsFromBurningOfCropResidues_LatexEquation" localSheetId="16">_xlfn.LAMBDA("E_{N2O}=\sum_{c}(M_{burn,c}\times NC_{AGc}\times EF_{N2O}\times C_{N2O}\times 10^{-3})")</definedName>
    <definedName name="AgResidue_Equations_FieldBurning.VEERG_6_4_1_1__2__NitrousOxideEmissionsFromBurningOfCropResidues_LatexEquation" localSheetId="15">_xlfn.LAMBDA("E_{N2O}=\sum_{c}(M_{burn,c}\times NC_{AGc}\times EF_{N2O}\times C_{N2O}\times 10^{-3})")</definedName>
    <definedName name="AgResidue_Equations_FieldBurning.VEERG_6_4_1_1__2__NitrousOxideEmissionsFromBurningOfCropResidues_LatexEquation" localSheetId="18">_xlfn.LAMBDA("E_{N2O}=\sum_{c}(M_{burn,c}\times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40">_xlfn.LAMBDA(_xlpm.Pc,_xlpm.RAGc,_xlpm.Sc,_xlpm.DMc,_xlpm.Zc,_xlpm.Fc, _xlpm.Pc * _xlpm.RAGc * _xlpm.Sc * _xlpm.DMc * _xlpm.Zc * _xlpm.Fc)</definedName>
    <definedName name="AgResidue_Equations_FieldBurning.VEERG_6_4_1_1__3__MassOfCropResidueBurnt" localSheetId="41">_xlfn.LAMBDA(_xlpm.Pc,_xlpm.RAGc,_xlpm.Sc,_xlpm.DMc,_xlpm.Zc,_xlpm.Fc, _xlpm.Pc * _xlpm.RAGc * _xlpm.Sc * _xlpm.DMc * _xlpm.Zc * _xlpm.Fc)</definedName>
    <definedName name="AgResidue_Equations_FieldBurning.VEERG_6_4_1_1__3__MassOfCropResidueBurnt" localSheetId="48">_xlfn.LAMBDA(_xlpm.Pc,_xlpm.RAGc,_xlpm.Sc,_xlpm.DMc,_xlpm.Zc,_xlpm.Fc, _xlpm.Pc * _xlpm.RAGc * _xlpm.Sc * _xlpm.DMc * _xlpm.Zc * _xlpm.Fc)</definedName>
    <definedName name="AgResidue_Equations_FieldBurning.VEERG_6_4_1_1__3__MassOfCropResidueBurnt" localSheetId="13">_xlfn.LAMBDA(_xlpm.Pc,_xlpm.RAGc,_xlpm.Sc,_xlpm.DMc,_xlpm.Zc,_xlpm.Fc, _xlpm.Pc * _xlpm.RAGc * _xlpm.Sc * _xlpm.DMc * _xlpm.Zc * _xlpm.Fc)</definedName>
    <definedName name="AgResidue_Equations_FieldBurning.VEERG_6_4_1_1__3__MassOfCropResidueBurnt" localSheetId="14">_xlfn.LAMBDA(_xlpm.Pc,_xlpm.RAGc,_xlpm.Sc,_xlpm.DMc,_xlpm.Zc,_xlpm.Fc, _xlpm.Pc * _xlpm.RAGc * _xlpm.Sc * _xlpm.DMc * _xlpm.Zc * _xlpm.Fc)</definedName>
    <definedName name="AgResidue_Equations_FieldBurning.VEERG_6_4_1_1__3__MassOfCropResidueBurnt" localSheetId="7">_xlfn.LAMBDA(_xlpm.Pc,_xlpm.RAGc,_xlpm.Sc,_xlpm.DMc,_xlpm.Zc,_xlpm.Fc, _xlpm.Pc * _xlpm.RAGc * _xlpm.Sc * _xlpm.DMc * _xlpm.Zc * _xlpm.Fc)</definedName>
    <definedName name="AgResidue_Equations_FieldBurning.VEERG_6_4_1_1__3__MassOfCropResidueBurnt" localSheetId="16">_xlfn.LAMBDA(_xlpm.Pc,_xlpm.RAGc,_xlpm.Sc,_xlpm.DMc,_xlpm.Zc,_xlpm.Fc, _xlpm.Pc * _xlpm.RAGc * _xlpm.Sc * _xlpm.DMc * _xlpm.Zc * _xlpm.Fc)</definedName>
    <definedName name="AgResidue_Equations_FieldBurning.VEERG_6_4_1_1__3__MassOfCropResidueBurnt" localSheetId="15">_xlfn.LAMBDA(_xlpm.Pc,_xlpm.RAGc,_xlpm.Sc,_xlpm.DMc,_xlpm.Zc,_xlpm.Fc, _xlpm.Pc * _xlpm.RAGc * _xlpm.Sc * _xlpm.DMc * _xlpm.Zc * _xlpm.Fc)</definedName>
    <definedName name="AgResidue_Equations_FieldBurning.VEERG_6_4_1_1__3__MassOfCropResidueBurnt" localSheetId="18">_xlfn.LAMBDA(_xlpm.Pc,_xlpm.RAGc,_xlpm.Sc,_xlpm.DMc,_xlpm.Zc,_xlpm.Fc, _xlpm.Pc * _xlpm.RAGc * _xlpm.Sc * _xlpm.DMc * _xlpm.Zc * _xlpm.Fc)</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 localSheetId="40">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41">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48">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3">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4">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6">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5">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8">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40">_xlfn.LAMBDA("Mburnc")</definedName>
    <definedName name="AgResidue_Equations_FieldBurning.VEERG_6_4_1_1__3__MassOfCropResidueBurnt_Variable" localSheetId="41">_xlfn.LAMBDA("Mburnc")</definedName>
    <definedName name="AgResidue_Equations_FieldBurning.VEERG_6_4_1_1__3__MassOfCropResidueBurnt_Variable" localSheetId="48">_xlfn.LAMBDA("Mburnc")</definedName>
    <definedName name="AgResidue_Equations_FieldBurning.VEERG_6_4_1_1__3__MassOfCropResidueBurnt_Variable" localSheetId="13">_xlfn.LAMBDA("Mburnc")</definedName>
    <definedName name="AgResidue_Equations_FieldBurning.VEERG_6_4_1_1__3__MassOfCropResidueBurnt_Variable" localSheetId="14">_xlfn.LAMBDA("Mburnc")</definedName>
    <definedName name="AgResidue_Equations_FieldBurning.VEERG_6_4_1_1__3__MassOfCropResidueBurnt_Variable" localSheetId="7">_xlfn.LAMBDA("Mburnc")</definedName>
    <definedName name="AgResidue_Equations_FieldBurning.VEERG_6_4_1_1__3__MassOfCropResidueBurnt_Variable" localSheetId="16">_xlfn.LAMBDA("Mburnc")</definedName>
    <definedName name="AgResidue_Equations_FieldBurning.VEERG_6_4_1_1__3__MassOfCropResidueBurnt_Variable" localSheetId="15">_xlfn.LAMBDA("Mburnc")</definedName>
    <definedName name="AgResidue_Equations_FieldBurning.VEERG_6_4_1_1__3__MassOfCropResidueBurnt_Variable" localSheetId="18">_xlfn.LAMBDA("Mburnc")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36">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7">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47">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11">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36">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7">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47">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11">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 localSheetId="40">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1">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4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3">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4">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7">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6">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5">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 localSheetId="18">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4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3">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2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'6.2.1.1-2 Pasture residue N2O'!Fertiliser_InputFunctions.Fertiliser_SumProductApplied(_xlpm.ChemicalCompound, _xlpm.ProductIngredient1, _xlpm.calculatedAmount1) + IFERROR('6.2.1.1-2 Pasture residue N2O'!Fertiliser_InputFunctions.Fertiliser_SumProductApplied(_xlpm.ChemicalCompound, _xlpm.ProductIngredient2, _xlpm.calculatedAmount2), 0) + IFERROR('6.2.1.1-2 Pasture residue N2O'!Fertiliser_InputFunctions.Fertiliser_SumProductApplied(_xlpm.ChemicalCompound, _xlpm.ProductIngredient3, _xlpm.calculatedAmount3), 0)))</definedName>
    <definedName name="Fertiliser_InputFunctions.Fertiliser_TotalActiveIngredientAppliedAllIngredients" localSheetId="3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pasture'!Fertiliser_InputFunctions.Fertiliser_SumProductApplied(_xlpm.ChemicalCompound, _xlpm.ProductIngredient1, _xlpm.calculatedAmount1) + IFERROR('6.3.1.1-2 Leach runoff pasture'!Fertiliser_InputFunctions.Fertiliser_SumProductApplied(_xlpm.ChemicalCompound, _xlpm.ProductIngredient2, _xlpm.calculatedAmount2), 0) + IFERROR('6.3.1.1-2 Leach runoff pasture'!Fertiliser_InputFunctions.Fertiliser_SumProductApplied(_xlpm.ChemicalCompound, _xlpm.ProductIngredient3, _xlpm.calculatedAmount3), 0)))</definedName>
    <definedName name="Fertiliser_InputFunctions.Fertiliser_TotalActiveIngredientAppliedAllIngredients" localSheetId="4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4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4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4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Pasture'!Fertiliser_InputFunctions.Fertiliser_SumProductApplied(_xlpm.ChemicalCompound, _xlpm.ProductIngredient1, _xlpm.calculatedAmount1) + IFERROR('Input - Pasture'!Fertiliser_InputFunctions.Fertiliser_SumProductApplied(_xlpm.ChemicalCompound, _xlpm.ProductIngredient2, _xlpm.calculatedAmount2), 0) + IFERROR('Input - Pasture'!Fertiliser_InputFunctions.Fertiliser_SumProductApplied(_xlpm.ChemicalCompound,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2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'6.2.1.1-2 Pasture residue N2O'!Fertiliser_InputFunctions.Fertiliser_SumProductApplied(
      _xlpm.ChemicalCompound,
      _xlpm.ProductIngredient1,
      _xlpm.calculatedAmount1
    ) + IFERROR(
      '6.2.1.1-2 Pasture residue N2O'!Fertiliser_InputFunctions.Fertiliser_SumProductApplied(
        _xlpm.ChemicalCompound,
        _xlpm.ProductIngredient2,
        _xlpm.calculatedAmount2
      ),
      0
    ) + IFERROR(
      '6.2.1.1-2 Pasture residue N2O'!Fertiliser_InputFunctions.Fertiliser_SumProductApplied(
        _xlpm.ChemicalCompound,
        _xlpm.ProductIngredient3,
        _xlpm.calculatedAmount3
      ),
      0
    ) + IFERROR(
      '6.2.1.1-2 Pasture residue N2O'!Fertiliser_InputFunctions.Fertiliser_SumProductApplied(
        _xlpm.ChemicalCompound,
        _xlpm.ProductIngredient4,
        _xlpm.calculatedAmount4
      ),
      0
    ) + IFERROR(
      '6.2.1.1-2 Pasture residue N2O'!Fertiliser_InputFunctions.Fertiliser_SumProductApplied(
        _xlpm.ChemicalCompound,
        _xlpm.ProductIngredient5,
        _xlpm.calculatedAmount5
      ),
      0
    ) + IFERROR(
      '6.2.1.1-2 Pasture residue N2O'!Fertiliser_InputFunctions.Fertiliser_SumProductApplied(
        _xlpm.ChemicalCompound,
        _xlpm.ProductIngredient6,
        _xlpm.calculatedAmount6
      ),
      0
    )
  )
)</definedName>
    <definedName name="Fertiliser_InputFunctions.Fertiliser_TotalChemicalCompoundAppliedAllIngredients" localSheetId="3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pasture'!Fertiliser_InputFunctions.Fertiliser_SumProductApplied(
      _xlpm.ChemicalCompound,
      _xlpm.ProductIngredient1,
      _xlpm.calculatedAmount1
    ) + IFERROR(
      '6.3.1.1-2 Leach runoff pasture'!Fertiliser_InputFunctions.Fertiliser_SumProductApplied(
        _xlpm.ChemicalCompound,
        _xlpm.ProductIngredient2,
        _xlpm.calculatedAmount2
      ),
      0
    ) + IFERROR(
      '6.3.1.1-2 Leach runoff pasture'!Fertiliser_InputFunctions.Fertiliser_SumProductApplied(
        _xlpm.ChemicalCompound,
        _xlpm.ProductIngredient3,
        _xlpm.calculatedAmount3
      ),
      0
    ) + IFERROR(
      '6.3.1.1-2 Leach runoff pasture'!Fertiliser_InputFunctions.Fertiliser_SumProductApplied(
        _xlpm.ChemicalCompound,
        _xlpm.ProductIngredient4,
        _xlpm.calculatedAmount4
      ),
      0
    ) + IFERROR(
      '6.3.1.1-2 Leach runoff pasture'!Fertiliser_InputFunctions.Fertiliser_SumProductApplied(
        _xlpm.ChemicalCompound,
        _xlpm.ProductIngredient5,
        _xlpm.calculatedAmount5
      ),
      0
    ) + IFERROR(
      '6.3.1.1-2 Leach runoff pasture'!Fertiliser_InputFunctions.Fertiliser_SumProductApplied(
        _xlpm.ChemicalCompound,
        _xlpm.ProductIngredient6,
        _xlpm.calculatedAmount6
      ),
      0
    )
  )
)</definedName>
    <definedName name="Fertiliser_InputFunctions.Fertiliser_TotalChemicalCompoundAppliedAllIngredients" localSheetId="4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4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4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4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Common farm inputs'!Fertiliser_InputFunctions.Fertiliser_SumProductApplied(_xlpm.ChemicalCompound, _xlpm.ProductIngredient1, _xlpm.calculatedAmount1) + IFERROR('Input - Common farm inputs'!Fertiliser_InputFunctions.Fertiliser_SumProductApplied(_xlpm.ChemicalCompound, _xlpm.ProductIngredient2, _xlpm.calculatedAmount2), 0) + IFERROR('Input - Common farm inputs'!Fertiliser_InputFunctions.Fertiliser_SumProductApplied(_xlpm.ChemicalCompound, _xlpm.ProductIngredient3, _xlpm.calculatedAmount3), 0) + IFERROR('Input - Common farm inputs'!Fertiliser_InputFunctions.Fertiliser_SumProductApplied(_xlpm.ChemicalCompound, _xlpm.ProductIngredient4, _xlpm.calculatedAmount4), 0) + IFERROR('Input - Common farm inputs'!Fertiliser_InputFunctions.Fertiliser_SumProductApplied(_xlpm.ChemicalCompound, _xlpm.ProductIngredient5, _xlpm.calculatedAmount5), 0) + IFERROR('Input - Common farm inputs'!Fertiliser_InputFunctions.Fertiliser_SumProductApplied(_xlpm.ChemicalCompound,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Crop pasture farm input'!Fertiliser_InputFunctions.Fertiliser_SumProductApplied(_xlpm.ChemicalCompound, _xlpm.ProductIngredient1, _xlpm.calculatedAmount1) + IFERROR('Input - Crop pasture farm input'!Fertiliser_InputFunctions.Fertiliser_SumProductApplied(_xlpm.ChemicalCompound, _xlpm.ProductIngredient2, _xlpm.calculatedAmount2), 0) + IFERROR('Input - Crop pasture farm input'!Fertiliser_InputFunctions.Fertiliser_SumProductApplied(_xlpm.ChemicalCompound, _xlpm.ProductIngredient3, _xlpm.calculatedAmount3), 0) + IFERROR('Input - Crop pasture farm input'!Fertiliser_InputFunctions.Fertiliser_SumProductApplied(_xlpm.ChemicalCompound, _xlpm.ProductIngredient4, _xlpm.calculatedAmount4), 0) + IFERROR('Input - Crop pasture farm input'!Fertiliser_InputFunctions.Fertiliser_SumProductApplied(_xlpm.ChemicalCompound, _xlpm.ProductIngredient5, _xlpm.calculatedAmount5), 0) + IFERROR('Input - Crop pasture farm input'!Fertiliser_InputFunctions.Fertiliser_SumProductApplied(_xlpm.ChemicalCompound,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Dairy cattle purchases'!Fertiliser_InputFunctions.Fertiliser_SumProductApplied(_xlpm.ChemicalCompound, _xlpm.ProductIngredient1, _xlpm.calculatedAmount1) + IFERROR('Input - Dairy cattle purchases'!Fertiliser_InputFunctions.Fertiliser_SumProductApplied(_xlpm.ChemicalCompound, _xlpm.ProductIngredient2, _xlpm.calculatedAmount2), 0) + IFERROR('Input - Dairy cattle purchases'!Fertiliser_InputFunctions.Fertiliser_SumProductApplied(_xlpm.ChemicalCompound, _xlpm.ProductIngredient3, _xlpm.calculatedAmount3), 0) + IFERROR('Input - Dairy cattle purchases'!Fertiliser_InputFunctions.Fertiliser_SumProductApplied(_xlpm.ChemicalCompound, _xlpm.ProductIngredient4, _xlpm.calculatedAmount4), 0) + IFERROR('Input - Dairy cattle purchases'!Fertiliser_InputFunctions.Fertiliser_SumProductApplied(_xlpm.ChemicalCompound, _xlpm.ProductIngredient5, _xlpm.calculatedAmount5), 0) + IFERROR('Input - Dairy cattle purchases'!Fertiliser_InputFunctions.Fertiliser_SumProductApplied(_xlpm.ChemicalCompound,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Livestock farm Inputs'!Fertiliser_InputFunctions.Fertiliser_SumProductApplied(_xlpm.ChemicalCompound, _xlpm.ProductIngredient1, _xlpm.calculatedAmount1) + IFERROR('Input - Livestock farm Inputs'!Fertiliser_InputFunctions.Fertiliser_SumProductApplied(_xlpm.ChemicalCompound, _xlpm.ProductIngredient2, _xlpm.calculatedAmount2), 0) + IFERROR('Input - Livestock farm Inputs'!Fertiliser_InputFunctions.Fertiliser_SumProductApplied(_xlpm.ChemicalCompound, _xlpm.ProductIngredient3, _xlpm.calculatedAmount3), 0) + IFERROR('Input - Livestock farm Inputs'!Fertiliser_InputFunctions.Fertiliser_SumProductApplied(_xlpm.ChemicalCompound, _xlpm.ProductIngredient4, _xlpm.calculatedAmount4), 0) + IFERROR('Input - Livestock farm Inputs'!Fertiliser_InputFunctions.Fertiliser_SumProductApplied(_xlpm.ChemicalCompound, _xlpm.ProductIngredient5, _xlpm.calculatedAmount5), 0) + IFERROR('Input - Livestock farm Inputs'!Fertiliser_InputFunctions.Fertiliser_SumProductApplied(_xlpm.ChemicalCompound,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Pasture'!Fertiliser_InputFunctions.Fertiliser_SumProductApplied(
      _xlpm.ChemicalCompound,
      _xlpm.ProductIngredient1,
      _xlpm.calculatedAmount1
    ) + IFERROR(
      'Input - Pasture'!Fertiliser_InputFunctions.Fertiliser_SumProductApplied(
        _xlpm.ChemicalCompound,
        _xlpm.ProductIngredient2,
        _xlpm.calculatedAmount2
      ),
      0
    ) + IFERROR(
      'Input - Pasture'!Fertiliser_InputFunctions.Fertiliser_SumProductApplied(
        _xlpm.ChemicalCompound,
        _xlpm.ProductIngredient3,
        _xlpm.calculatedAmount3
      ),
      0
    ) + IFERROR(
      'Input - Pasture'!Fertiliser_InputFunctions.Fertiliser_SumProductApplied(
        _xlpm.ChemicalCompound,
        _xlpm.ProductIngredient4,
        _xlpm.calculatedAmount4
      ),
      0
    ) + IFERROR(
      'Input - Pasture'!Fertiliser_InputFunctions.Fertiliser_SumProductApplied(
        _xlpm.ChemicalCompound,
        _xlpm.ProductIngredient5,
        _xlpm.calculatedAmount5
      ),
      0
    ) + IFERROR(
      'Input - Pasture'!Fertiliser_InputFunctions.Fertiliser_SumProductApplied(
        _xlpm.ChemicalCompound,
        _xlpm.ProductIngredient6,
        _xlpm.calculatedAmount6
      ),
      0
    )
  )
)</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'6.2.1.1-2 Pasture residue N2O'!Fertiliser_InputFunctions.Fertiliser_SumProductApplied(
      _xlpm.ChemicalCompound,
      _xlpm.ProductIngredient1,
      _xlpm.calculatedAmount1,
      _xlpm.Source,
      _xlpm.ProductIngredientSource
    ) + IFERROR(
      '6.2.1.1-2 Pasture residue N2O'!Fertiliser_InputFunctions.Fertiliser_SumProductApplied(
        _xlpm.ChemicalCompound,
        _xlpm.ProductIngredient2,
        _xlpm.calculatedAmount2,
        _xlpm.Source,
        _xlpm.ProductIngredientSource
      ),
      0
    ) + IFERROR(
      '6.2.1.1-2 Pasture residue N2O'!Fertiliser_InputFunctions.Fertiliser_SumProductApplied(
        _xlpm.ChemicalCompound,
        _xlpm.ProductIngredient3,
        _xlpm.calculatedAmount3,
        _xlpm.Source,
        _xlpm.ProductIngredientSource
      ),
      0
    ) + IFERROR(
      '6.2.1.1-2 Pasture residue N2O'!Fertiliser_InputFunctions.Fertiliser_SumProductApplied(
        _xlpm.ChemicalCompound,
        _xlpm.ProductIngredient4,
        _xlpm.calculatedAmount4,
        _xlpm.Source,
        _xlpm.ProductIngredientSource
      ),
      0
    ) + IFERROR(
      '6.2.1.1-2 Pasture residue N2O'!Fertiliser_InputFunctions.Fertiliser_SumProductApplied(
        _xlpm.ChemicalCompound,
        _xlpm.ProductIngredient5,
        _xlpm.calculatedAmount5,
        _xlpm.Source,
        _xlpm.ProductIngredientSource
      ),
      0
    ) + IFERROR(
      '6.2.1.1-2 Pasture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3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pasture'!Fertiliser_InputFunctions.Fertiliser_SumProductApplied(
      _xlpm.ChemicalCompound,
      _xlpm.ProductIngredient1,
      _xlpm.calculatedAmount1,
      _xlpm.Source,
      _xlpm.ProductIngredientSource
    ) + IFERROR(
      '6.3.1.1-2 Leach runoff pasture'!Fertiliser_InputFunctions.Fertiliser_SumProductApplied(
        _xlpm.ChemicalCompound,
        _xlpm.ProductIngredient2,
        _xlpm.calculatedAmount2,
        _xlpm.Source,
        _xlpm.ProductIngredientSource
      ),
      0
    ) + IFERROR(
      '6.3.1.1-2 Leach runoff pasture'!Fertiliser_InputFunctions.Fertiliser_SumProductApplied(
        _xlpm.ChemicalCompound,
        _xlpm.ProductIngredient3,
        _xlpm.calculatedAmount3,
        _xlpm.Source,
        _xlpm.ProductIngredientSource
      ),
      0
    ) + IFERROR(
      '6.3.1.1-2 Leach runoff pasture'!Fertiliser_InputFunctions.Fertiliser_SumProductApplied(
        _xlpm.ChemicalCompound,
        _xlpm.ProductIngredient4,
        _xlpm.calculatedAmount4,
        _xlpm.Source,
        _xlpm.ProductIngredientSource
      ),
      0
    ) + IFERROR(
      '6.3.1.1-2 Leach runoff pasture'!Fertiliser_InputFunctions.Fertiliser_SumProductApplied(
        _xlpm.ChemicalCompound,
        _xlpm.ProductIngredient5,
        _xlpm.calculatedAmount5,
        _xlpm.Source,
        _xlpm.ProductIngredientSource
      ),
      0
    ) + IFERROR(
      '6.3.1.1-2 Leach runoff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4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Common farm inputs'!Fertiliser_InputFunctions.Fertiliser_SumProductApplied(_xlpm.ChemicalCompound, _xlpm.ProductIngredient1, _xlpm.calculatedAmount1, _xlpm.Source, _xlpm.ProductIngredientSource) + IFERROR('Input - Common farm inputs'!Fertiliser_InputFunctions.Fertiliser_SumProductApplied(_xlpm.ChemicalCompound, _xlpm.ProductIngredient2, _xlpm.calculatedAmount2, _xlpm.Source, _xlpm.ProductIngredientSource), 0) + IFERROR('Input - Common farm inputs'!Fertiliser_InputFunctions.Fertiliser_SumProductApplied(_xlpm.ChemicalCompound, _xlpm.ProductIngredient3, _xlpm.calculatedAmount3, _xlpm.Source, _xlpm.ProductIngredientSource), 0) + IFERROR('Input - Common farm inputs'!Fertiliser_InputFunctions.Fertiliser_SumProductApplied(_xlpm.ChemicalCompound, _xlpm.ProductIngredient4, _xlpm.calculatedAmount4, _xlpm.Source, _xlpm.ProductIngredientSource), 0) + IFERROR('Input - Common farm inputs'!Fertiliser_InputFunctions.Fertiliser_SumProductApplied(_xlpm.ChemicalCompound, _xlpm.ProductIngredient5, _xlpm.calculatedAmount5, _xlpm.Source, _xlpm.ProductIngredientSource), 0) + IFERROR('Input - Common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Crop pasture farm input'!Fertiliser_InputFunctions.Fertiliser_SumProductApplied(_xlpm.ChemicalCompound, _xlpm.ProductIngredient1, _xlpm.calculatedAmount1, _xlpm.Source, _xlpm.ProductIngredientSource) + IFERROR('Input - Crop pasture farm input'!Fertiliser_InputFunctions.Fertiliser_SumProductApplied(_xlpm.ChemicalCompound, _xlpm.ProductIngredient2, _xlpm.calculatedAmount2, _xlpm.Source, _xlpm.ProductIngredientSource), 0) + IFERROR('Input - Crop pasture farm input'!Fertiliser_InputFunctions.Fertiliser_SumProductApplied(_xlpm.ChemicalCompound, _xlpm.ProductIngredient3, _xlpm.calculatedAmount3, _xlpm.Source, _xlpm.ProductIngredientSource), 0) + IFERROR('Input - Crop pasture farm input'!Fertiliser_InputFunctions.Fertiliser_SumProductApplied(_xlpm.ChemicalCompound, _xlpm.ProductIngredient4, _xlpm.calculatedAmount4, _xlpm.Source, _xlpm.ProductIngredientSource), 0) + IFERROR('Input - Crop pasture farm input'!Fertiliser_InputFunctions.Fertiliser_SumProductApplied(_xlpm.ChemicalCompound, _xlpm.ProductIngredient5, _xlpm.calculatedAmount5, _xlpm.Source, _xlpm.ProductIngredientSource), 0) + IFERROR('Input - Crop pasture farm input'!Fertiliser_InputFunctions.Fertiliser_SumProductApplied(_xlpm.ChemicalCompound,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Dairy cattle purchases'!Fertiliser_InputFunctions.Fertiliser_SumProductApplied(_xlpm.ChemicalCompound, _xlpm.ProductIngredient1, _xlpm.calculatedAmount1, _xlpm.Source, _xlpm.ProductIngredientSource) + IFERROR('Input - Dairy cattle purchases'!Fertiliser_InputFunctions.Fertiliser_SumProductApplied(_xlpm.ChemicalCompound, _xlpm.ProductIngredient2, _xlpm.calculatedAmount2, _xlpm.Source, _xlpm.ProductIngredientSource), 0) + IFERROR('Input - Dairy cattle purchases'!Fertiliser_InputFunctions.Fertiliser_SumProductApplied(_xlpm.ChemicalCompound, _xlpm.ProductIngredient3, _xlpm.calculatedAmount3, _xlpm.Source, _xlpm.ProductIngredientSource), 0) + IFERROR('Input - Dairy cattle purchases'!Fertiliser_InputFunctions.Fertiliser_SumProductApplied(_xlpm.ChemicalCompound, _xlpm.ProductIngredient4, _xlpm.calculatedAmount4, _xlpm.Source, _xlpm.ProductIngredientSource), 0) + IFERROR('Input - Dairy cattle purchases'!Fertiliser_InputFunctions.Fertiliser_SumProductApplied(_xlpm.ChemicalCompound, _xlpm.ProductIngredient5, _xlpm.calculatedAmount5, _xlpm.Source, _xlpm.ProductIngredientSource), 0) + IFERROR('Input - Dairy cattle purchases'!Fertiliser_InputFunctions.Fertiliser_SumProductApplied(_xlpm.ChemicalCompound,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Livestock farm Inputs'!Fertiliser_InputFunctions.Fertiliser_SumProductApplied(_xlpm.ChemicalCompound, _xlpm.ProductIngredient1, _xlpm.calculatedAmount1, _xlpm.Source, _xlpm.ProductIngredientSource) + IFERROR('Input - Livestock farm Inputs'!Fertiliser_InputFunctions.Fertiliser_SumProductApplied(_xlpm.ChemicalCompound, _xlpm.ProductIngredient2, _xlpm.calculatedAmount2, _xlpm.Source, _xlpm.ProductIngredientSource), 0) + IFERROR('Input - Livestock farm Inputs'!Fertiliser_InputFunctions.Fertiliser_SumProductApplied(_xlpm.ChemicalCompound, _xlpm.ProductIngredient3, _xlpm.calculatedAmount3, _xlpm.Source, _xlpm.ProductIngredientSource), 0) + IFERROR('Input - Livestock farm Inputs'!Fertiliser_InputFunctions.Fertiliser_SumProductApplied(_xlpm.ChemicalCompound, _xlpm.ProductIngredient4, _xlpm.calculatedAmount4, _xlpm.Source, _xlpm.ProductIngredientSource), 0) + IFERROR('Input - Livestock farm Inputs'!Fertiliser_InputFunctions.Fertiliser_SumProductApplied(_xlpm.ChemicalCompound, _xlpm.ProductIngredient5, _xlpm.calculatedAmount5, _xlpm.Source, _xlpm.ProductIngredientSource), 0) + IFERROR('Input - Livestock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Pasture'!Fertiliser_InputFunctions.Fertiliser_SumProductApplied(
      _xlpm.ChemicalCompound,
      _xlpm.ProductIngredient1,
      _xlpm.calculatedAmount1,
      _xlpm.Source,
      _xlpm.ProductIngredientSource
    ) + IFERROR(
      'Input - Pasture'!Fertiliser_InputFunctions.Fertiliser_SumProductApplied(
        _xlpm.ChemicalCompound,
        _xlpm.ProductIngredient2,
        _xlpm.calculatedAmount2,
        _xlpm.Source,
        _xlpm.ProductIngredientSource
      ),
      0
    ) + IFERROR(
      'Input - Pasture'!Fertiliser_InputFunctions.Fertiliser_SumProductApplied(
        _xlpm.ChemicalCompound,
        _xlpm.ProductIngredient3,
        _xlpm.calculatedAmount3,
        _xlpm.Source,
        _xlpm.ProductIngredientSource
      ),
      0
    ) + IFERROR(
      'Input - Pasture'!Fertiliser_InputFunctions.Fertiliser_SumProductApplied(
        _xlpm.ChemicalCompound,
        _xlpm.ProductIngredient4,
        _xlpm.calculatedAmount4,
        _xlpm.Source,
        _xlpm.ProductIngredientSource
      ),
      0
    ) + IFERROR(
      'Input - Pasture'!Fertiliser_InputFunctions.Fertiliser_SumProductApplied(
        _xlpm.ChemicalCompound,
        _xlpm.ProductIngredient5,
        _xlpm.calculatedAmount5,
        _xlpm.Source,
        _xlpm.ProductIngredientSource
      ),
      0
    ) + IFERROR(
      'Input - Pasture'!Fertiliser_InputFunctions.Fertiliser_SumProductApplied(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40">_xlfn.LAMBDA(_xlpm.Q_Transtq,_xlpm.EC_Transq,_xlpm.EF_Trans1tqg, [0]!Fuel_Equations.VEERG_8_FuelCombustion(_xlpm.Q_Transtq, _xlpm.EC_Transq, _xlpm.EF_Trans1tqg))</definedName>
    <definedName name="Fuel_Equations.VEERG_8_1_1_1__1_FuelCombustionTransport" localSheetId="36">_xlfn.LAMBDA(_xlpm.Q_Transtq,_xlpm.EC_Transq,_xlpm.EF_Trans1tqg, [0]!Fuel_Equations.VEERG_8_FuelCombustion(_xlpm.Q_Transtq, _xlpm.EC_Transq, _xlpm.EF_Trans1tqg))</definedName>
    <definedName name="Fuel_Equations.VEERG_8_1_1_1__1_FuelCombustionTransport" localSheetId="37">_xlfn.LAMBDA(_xlpm.Q_Transtq,_xlpm.EC_Transq,_xlpm.EF_Trans1tqg, [0]!Fuel_Equations.VEERG_8_FuelCombustion(_xlpm.Q_Transtq, _xlpm.EC_Transq, _xlpm.EF_Trans1tqg))</definedName>
    <definedName name="Fuel_Equations.VEERG_8_1_1_1__1_FuelCombustionTransport" localSheetId="41">_xlfn.LAMBDA(_xlpm.Q_Transtq,_xlpm.EC_Transq,_xlpm.EF_Trans1tqg, [0]!Fuel_Equations.VEERG_8_FuelCombustion(_xlpm.Q_Transtq, _xlpm.EC_Transq, _xlpm.EF_Trans1tqg))</definedName>
    <definedName name="Fuel_Equations.VEERG_8_1_1_1__1_FuelCombustionTransport" localSheetId="47">_xlfn.LAMBDA(_xlpm.Q_Transtq,_xlpm.EC_Transq,_xlpm.EF_Trans1tqg, [0]!Fuel_Equations.VEERG_8_FuelCombustion(_xlpm.Q_Transtq, _xlpm.EC_Transq, _xlpm.EF_Trans1tqg))</definedName>
    <definedName name="Fuel_Equations.VEERG_8_1_1_1__1_FuelCombustionTransport" localSheetId="48">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 localSheetId="14">_xlfn.LAMBDA(_xlpm.Q_Transtq,_xlpm.EC_Transq,_xlpm.EF_Trans1tqg, [0]!Fuel_Equations.VEERG_8_FuelCombustion(_xlpm.Q_Transtq, _xlpm.EC_Transq, _xlpm.EF_Trans1tqg))</definedName>
    <definedName name="Fuel_Equations.VEERG_8_1_1_1__1_FuelCombustionTransport" localSheetId="7">_xlfn.LAMBDA(_xlpm.Q_Transtq,_xlpm.EC_Transq,_xlpm.EF_Trans1tqg, [0]!Fuel_Equations.VEERG_8_FuelCombustion(_xlpm.Q_Transtq, _xlpm.EC_Transq, _xlpm.EF_Trans1tqg))</definedName>
    <definedName name="Fuel_Equations.VEERG_8_1_1_1__1_FuelCombustionTransport" localSheetId="16">_xlfn.LAMBDA(_xlpm.Q_Transtq,_xlpm.EC_Transq,_xlpm.EF_Trans1tqg, [0]!Fuel_Equations.VEERG_8_FuelCombustion(_xlpm.Q_Transtq, _xlpm.EC_Transq, _xlpm.EF_Trans1tqg))</definedName>
    <definedName name="Fuel_Equations.VEERG_8_1_1_1__1_FuelCombustionTransport" localSheetId="15">_xlfn.LAMBDA(_xlpm.Q_Transtq,_xlpm.EC_Transq,_xlpm.EF_Trans1tqg, [0]!Fuel_Equations.VEERG_8_FuelCombustion(_xlpm.Q_Transtq, _xlpm.EC_Transq, _xlpm.EF_Trans1tqg))</definedName>
    <definedName name="Fuel_Equations.VEERG_8_1_1_1__1_FuelCombustionTransport" localSheetId="18">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40">_xlfn.LAMBDA(_xlpm.Q_SCq,_xlpm.EC_SCq,_xlpm.EF_SC1qg, [0]!Fuel_Equations.VEERG_8_FuelCombustion(_xlpm.Q_SCq, _xlpm.EC_SCq, _xlpm.EF_SC1qg))</definedName>
    <definedName name="Fuel_Equations.VEERG_8_2_1_1__1_FuelCombustionStationary" localSheetId="36">_xlfn.LAMBDA(_xlpm.Q_SCq,_xlpm.EC_SCq,_xlpm.EF_SC1qg, [0]!Fuel_Equations.VEERG_8_FuelCombustion(_xlpm.Q_SCq, _xlpm.EC_SCq, _xlpm.EF_SC1qg))</definedName>
    <definedName name="Fuel_Equations.VEERG_8_2_1_1__1_FuelCombustionStationary" localSheetId="37">_xlfn.LAMBDA(_xlpm.Q_SCq,_xlpm.EC_SCq,_xlpm.EF_SC1qg, [0]!Fuel_Equations.VEERG_8_FuelCombustion(_xlpm.Q_SCq, _xlpm.EC_SCq, _xlpm.EF_SC1qg))</definedName>
    <definedName name="Fuel_Equations.VEERG_8_2_1_1__1_FuelCombustionStationary" localSheetId="41">_xlfn.LAMBDA(_xlpm.Q_SCq,_xlpm.EC_SCq,_xlpm.EF_SC1qg, [0]!Fuel_Equations.VEERG_8_FuelCombustion(_xlpm.Q_SCq, _xlpm.EC_SCq, _xlpm.EF_SC1qg))</definedName>
    <definedName name="Fuel_Equations.VEERG_8_2_1_1__1_FuelCombustionStationary" localSheetId="47">_xlfn.LAMBDA(_xlpm.Q_SCq,_xlpm.EC_SCq,_xlpm.EF_SC1qg, [0]!Fuel_Equations.VEERG_8_FuelCombustion(_xlpm.Q_SCq, _xlpm.EC_SCq, _xlpm.EF_SC1qg))</definedName>
    <definedName name="Fuel_Equations.VEERG_8_2_1_1__1_FuelCombustionStationary" localSheetId="48">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 localSheetId="14">_xlfn.LAMBDA(_xlpm.Q_SCq,_xlpm.EC_SCq,_xlpm.EF_SC1qg, [0]!Fuel_Equations.VEERG_8_FuelCombustion(_xlpm.Q_SCq, _xlpm.EC_SCq, _xlpm.EF_SC1qg))</definedName>
    <definedName name="Fuel_Equations.VEERG_8_2_1_1__1_FuelCombustionStationary" localSheetId="7">_xlfn.LAMBDA(_xlpm.Q_SCq,_xlpm.EC_SCq,_xlpm.EF_SC1qg, [0]!Fuel_Equations.VEERG_8_FuelCombustion(_xlpm.Q_SCq, _xlpm.EC_SCq, _xlpm.EF_SC1qg))</definedName>
    <definedName name="Fuel_Equations.VEERG_8_2_1_1__1_FuelCombustionStationary" localSheetId="16">_xlfn.LAMBDA(_xlpm.Q_SCq,_xlpm.EC_SCq,_xlpm.EF_SC1qg, [0]!Fuel_Equations.VEERG_8_FuelCombustion(_xlpm.Q_SCq, _xlpm.EC_SCq, _xlpm.EF_SC1qg))</definedName>
    <definedName name="Fuel_Equations.VEERG_8_2_1_1__1_FuelCombustionStationary" localSheetId="15">_xlfn.LAMBDA(_xlpm.Q_SCq,_xlpm.EC_SCq,_xlpm.EF_SC1qg, [0]!Fuel_Equations.VEERG_8_FuelCombustion(_xlpm.Q_SCq, _xlpm.EC_SCq, _xlpm.EF_SC1qg))</definedName>
    <definedName name="Fuel_Equations.VEERG_8_2_1_1__1_FuelCombustionStationary" localSheetId="18">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40">_xlfn.LAMBDA(_xlpm.Cell, RIGHT(_xlpm.Cell, LEN(_xlpm.Cell) - FIND(", ", _xlpm.Cell)))</definedName>
    <definedName name="Fuel_InputFunctions.Fuel_GetStationaryFuelString" localSheetId="41">_xlfn.LAMBDA(_xlpm.Cell, RIGHT(_xlpm.Cell, LEN(_xlpm.Cell) - FIND(", ", _xlpm.Cell)))</definedName>
    <definedName name="Fuel_InputFunctions.Fuel_GetStationaryFuelString" localSheetId="48">_xlfn.LAMBDA(_xlpm.Cell, RIGHT(_xlpm.Cell, LEN(_xlpm.Cell) - FIND(", ", _xlpm.Cell)))</definedName>
    <definedName name="Fuel_InputFunctions.Fuel_GetStationaryFuelString" localSheetId="13">_xlfn.LAMBDA(_xlpm.Cell, RIGHT(_xlpm.Cell, LEN(_xlpm.Cell) - FIND(", ", _xlpm.Cell)))</definedName>
    <definedName name="Fuel_InputFunctions.Fuel_GetStationaryFuelString" localSheetId="14">_xlfn.LAMBDA(_xlpm.Cell, RIGHT(_xlpm.Cell, LEN(_xlpm.Cell) - FIND(", ", _xlpm.Cell)))</definedName>
    <definedName name="Fuel_InputFunctions.Fuel_GetStationaryFuelString" localSheetId="7">_xlfn.LAMBDA(_xlpm.Cell, RIGHT(_xlpm.Cell, LEN(_xlpm.Cell) - FIND(", ", _xlpm.Cell)))</definedName>
    <definedName name="Fuel_InputFunctions.Fuel_GetStationaryFuelString" localSheetId="16">_xlfn.LAMBDA(_xlpm.Cell, RIGHT(_xlpm.Cell, LEN(_xlpm.Cell) - FIND(", ", _xlpm.Cell)))</definedName>
    <definedName name="Fuel_InputFunctions.Fuel_GetStationaryFuelString" localSheetId="15">_xlfn.LAMBDA(_xlpm.Cell, RIGHT(_xlpm.Cell, LEN(_xlpm.Cell) - FIND(", ", _xlpm.Cell)))</definedName>
    <definedName name="Fuel_InputFunctions.Fuel_GetStationaryFuelString" localSheetId="18">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 localSheetId="19">'3.3.1.1-2 Enteric Methane'!$D$164:$H$165</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 localSheetId="19">'3.3.1.1-2 Enteric Methane'!$D$18:$H$19</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DPW_j35">'3.3.1.1-2 Enteric Methane'!$D$169:$H$170</definedName>
    <definedName name="M1_Table_E_CH4">'4.3.1.1-2 Methane'!$O$289:$U$298</definedName>
    <definedName name="M1_Table_E_CH4_Consumer_1">'4.3.1.1-2 Methane'!$D$289:$J$298</definedName>
    <definedName name="M1_Table_E_CO2">'5.1.1.3-4 Inorganic fert CO2'!$D$57:$E$76</definedName>
    <definedName name="M1_Table_E_enteric">'3.3.1.1-2 Enteric Methane'!$M$179:$Q$180</definedName>
    <definedName name="M1_Table_E_enteric_Consumer_1">'3.3.1.1-2 Enteric Methane'!$D$179:$H$180</definedName>
    <definedName name="M1_Table_E_N2O" localSheetId="35">'6.3.1.1-2 Leach runoff pasture'!$N$44:$O$46</definedName>
    <definedName name="M1_Table_E_N2O">'5.1.1.1-2 Inorganic fert N2O'!$D$59:$E$78</definedName>
    <definedName name="M1_Table_E_N2O_Consumer_1" localSheetId="35">'6.3.1.1-2 Leach runoff pasture'!$D$44:$E$46</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 localSheetId="19">'3.3.1.1-2 Enteric Methane'!$D$114:$H$115</definedName>
    <definedName name="M1_Table_I_j">'4.3.1.1-2 Methane'!$D$113:$H$114</definedName>
    <definedName name="M1_Table_I_j_Consumer_1">'4.3.1.3-4 Direct N20'!$D$49:$H$50</definedName>
    <definedName name="M1_Table_L_j">'4.3.1.3-4 Direct N20'!$D$64:$H$65</definedName>
    <definedName name="M1_Table_LWG_j" localSheetId="19">'3.3.1.1-2 Enteric Methane'!$D$104:$H$105</definedName>
    <definedName name="M1_Table_LWG_j">'4.3.1.3-4 Direct N20'!$D$97:$H$98</definedName>
    <definedName name="M1_Table_LWG_j_Consumer_1">'4.3.1.1-2 Methane'!$D$103:$H$104</definedName>
    <definedName name="M1_Table_M_j">'3.3.1.1-2 Enteric Methane'!$D$131:$H$132</definedName>
    <definedName name="M1_Table_M_leach_cp" localSheetId="35">'6.3.1.1-2 Leach runoff pasture'!$D$23:$I$25</definedName>
    <definedName name="M1_Table_M_leach_M14">'4.3.1.12-13 Soil leach runoff'!$D$27:$J$28</definedName>
    <definedName name="M1_Table_M_vol_m14">'4.3.1.10-11 Soil Atmos Dep'!$D$23:$J$24</definedName>
    <definedName name="M1_Table_MI_j" localSheetId="19">'3.3.1.1-2 Enteric Methane'!$D$79:$H$80</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 localSheetId="19">'3.3.1.1-2 Enteric Methane'!$D$49:$H$50</definedName>
    <definedName name="M1_Table_MP_j_from_solids">'4.3.1.1-2 Methane'!$D$49:$H$50</definedName>
    <definedName name="M1_Table_MP_j_from_solids_Consumer_1">'4.3.1.3-4 Direct N20'!$D$87:$H$88</definedName>
    <definedName name="M1_Table_MPW_j35">'3.3.1.1-2 Enteric Methane'!$D$174:$E$175</definedName>
    <definedName name="M1_Table_MS_j" localSheetId="19">'3.3.1.1-2 Enteric Methane'!$D$44:$H$45</definedName>
    <definedName name="M1_Table_MS_j">'4.3.1.1-2 Methane'!$D$44:$H$45</definedName>
    <definedName name="M1_Table_NE_j">'4.3.1.3-4 Direct N20'!$D$145:$H$146</definedName>
    <definedName name="M1_Table_NR_j">'4.3.1.3-4 Direct N20'!$D$102:$H$103</definedName>
    <definedName name="M1_Table_qm_j" localSheetId="19">'3.3.1.1-2 Enteric Methane'!$D$23:$H$24</definedName>
    <definedName name="M1_Table_qm_j">'4.3.1.1-2 Methane'!$D$23:$H$24</definedName>
    <definedName name="M1_Table_SS_m">'4.3.1.1-2 Methane'!$D$161:$F$168</definedName>
    <definedName name="M1_Table_VS_j">'4.3.1.1-2 Methane'!$D$132:$H$133</definedName>
    <definedName name="M1_Table_W_j" localSheetId="19">'3.3.1.1-2 Enteric Methane'!$D$99:$H$100</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 localSheetId="19">'3.3.1.1-2 Enteric Methane'!$M$164:$Q$165</definedName>
    <definedName name="M2_Table_D_j">'4.3.1.1-2 Methane'!$O$274:$S$275</definedName>
    <definedName name="M2_Table_D_j124">'4.3.1.3-4 Direct N20'!$N$170:$R$171</definedName>
    <definedName name="M2_Table_DMD_j" localSheetId="19">'3.3.1.1-2 Enteric Methane'!$M$18:$Q$19</definedName>
    <definedName name="M2_Table_DMD_j">'4.3.1.1-2 Methane'!$O$18:$S$19</definedName>
    <definedName name="M2_Table_DPW_j">'3.3.1.1-2 Enteric Methane'!$M$169:$Q$170</definedName>
    <definedName name="M2_Table_E_N2O_dir">'4.3.1.3-4 Direct N20'!$N$277:$T$285</definedName>
    <definedName name="M2_Table_E_N2O_dir_Consumer_1">'4.3.1.9 Soil direct N2O'!$O$50:$U$51</definedName>
    <definedName name="M2_Table_EF_N2O_leach">'4.3.1.6-7 Leaching and runoff'!$O$48:$U$50</definedName>
    <definedName name="M2_Table_FertApplications">'5.1.1.1-2 Inorganic fert N2O'!$M$10:$W$25</definedName>
    <definedName name="M2_Table_FVS_j_m4">'4.3.1.1-2 Methane'!$O$204:$U$206</definedName>
    <definedName name="M2_Table_I_j" localSheetId="19">'3.3.1.1-2 Enteric Methane'!$M$114:$Q$115</definedName>
    <definedName name="M2_Table_I_j">'4.3.1.1-2 Methane'!$O$113:$S$114</definedName>
    <definedName name="M2_Table_I_j_Consumer_1">'4.3.1.3-4 Direct N20'!$N$49:$R$50</definedName>
    <definedName name="M2_Table_L_j">'4.3.1.3-4 Direct N20'!$N$64:$R$65</definedName>
    <definedName name="M2_Table_LWG_j" localSheetId="19">'3.3.1.1-2 Enteric Methane'!$M$104:$Q$105</definedName>
    <definedName name="M2_Table_LWG_j">'4.3.1.3-4 Direct N20'!$N$97:$R$98</definedName>
    <definedName name="M2_Table_LWG_j_Consumer_1">'4.3.1.1-2 Methane'!$O$103:$S$104</definedName>
    <definedName name="M2_Table_M_j">'3.3.1.1-2 Enteric Methane'!$M$131:$Q$132</definedName>
    <definedName name="M2_Table_M_leach_cp" localSheetId="35">'6.3.1.1-2 Leach runoff pasture'!$N$23:$S$23</definedName>
    <definedName name="M2_Table_M_leach_M14">'4.3.1.12-13 Soil leach runoff'!$O$27:$U$28</definedName>
    <definedName name="M2_Table_M_vol_m14">'4.3.1.10-11 Soil Atmos Dep'!$O$23:$U$24</definedName>
    <definedName name="M2_Table_MI_j" localSheetId="19">'3.3.1.1-2 Enteric Methane'!$M$79:$Q$80</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 localSheetId="19">'3.3.1.1-2 Enteric Methane'!$M$49:$Q$50</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 localSheetId="19">'3.3.1.1-2 Enteric Methane'!$M$23:$Q$24</definedName>
    <definedName name="M2_Table_qm_j">'4.3.1.1-2 Methane'!$O$23:$S$24</definedName>
    <definedName name="M2_Table_SS_m">'4.3.1.1-2 Methane'!$O$161:$Q$168</definedName>
    <definedName name="M2_Table_VS_j">'4.3.1.1-2 Methane'!$O$132:$S$133</definedName>
    <definedName name="M2_Table_W_j" localSheetId="19">'3.3.1.1-2 Enteric Methane'!$M$99:$Q$100</definedName>
    <definedName name="M2_Table_W_j">'4.3.1.3-4 Direct N20'!$N$18:$R$19</definedName>
    <definedName name="M2_Table_W_j_Consumer_1">'4.3.1.1-2 Methane'!$O$98:$S$99</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'Results - Activity period'!$E$99</definedName>
    <definedName name="Result_EmissionsForWholeProductionCycle_Gross_Method1">'Results - Activity period'!$E$73</definedName>
    <definedName name="Result_EmissionsForWholeProductionCycle_Gross_Method2">'Results - Activity period'!$F$73</definedName>
    <definedName name="Result_EmissionsForWholeProductionCycle_Method1">'Results - Activity period'!$E$88</definedName>
    <definedName name="Result_EmissionsForWholeProductionCycle_Method2">'Results - Activity period'!$F$88</definedName>
    <definedName name="Result_EmissionsForWholeProductionCycle_Net_Method1">'Results - Activity period'!$E$74</definedName>
    <definedName name="Result_EmissionsForWholeProductionCycle_Net_Method2">'Results - Activity period'!$F$74</definedName>
    <definedName name="Result_Enterprise_Gross_Method1">'Results - Activity period'!$E$73</definedName>
    <definedName name="Result_Enterprise_Gross_Method2">'Results - Activity period'!$F$73</definedName>
    <definedName name="Result_Enterprise_Method1">Results!$H$25</definedName>
    <definedName name="Result_Enterprise_Method2">Results!$I$25</definedName>
    <definedName name="Result_Enterprise_Net_Method1">'Results - Activity period'!$E$74</definedName>
    <definedName name="Result_Enterprise_Net_Method2">'Results - Activity period'!$F$73</definedName>
    <definedName name="Result_Enterprise_Removals">'Results - Activity period'!$E$67</definedName>
    <definedName name="Result_Enterprise_Scope1_Method1">'Results - Activity period'!$H$34</definedName>
    <definedName name="Result_Enterprise_Scope1_Method2">'Results - Activity period'!$I$34</definedName>
    <definedName name="Result_Enterprise_Scope2_Method1">'Results - Activity period'!$H$41</definedName>
    <definedName name="Result_Enterprise_Scope2_Method2">'Results - Activity period'!$I$41</definedName>
    <definedName name="Result_Enterprise_Scope3_Method1">'Results - Activity period'!$H$62</definedName>
    <definedName name="Result_Enterprise_Scope3_Method2">'Results - Activity period'!$I$56</definedName>
    <definedName name="Result_NetEmissions_Method1">'Results - Activity period'!$E$105</definedName>
    <definedName name="Result_NetEmissions_Method2">'Results - Activity period'!$F$105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40">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4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48">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3">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4">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6">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8">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40">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4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48">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3">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4">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6">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8">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40">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4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48">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3">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4">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6">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8">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40">_xlfn.LAMBDA(_xlpm.E_N2O,_xlpm.E_ad,_xlpm.E_leach, _xlpm.E_N2O + _xlpm.E_ad + _xlpm.E_leach)</definedName>
    <definedName name="Scope3_Equations.VEERG_15_13_1_3__1_EmissionsFromSolidWasteTreatmentFacility" localSheetId="41">_xlfn.LAMBDA(_xlpm.E_N2O,_xlpm.E_ad,_xlpm.E_leach, _xlpm.E_N2O + _xlpm.E_ad + _xlpm.E_leach)</definedName>
    <definedName name="Scope3_Equations.VEERG_15_13_1_3__1_EmissionsFromSolidWasteTreatmentFacility" localSheetId="48">_xlfn.LAMBDA(_xlpm.E_N2O,_xlpm.E_ad,_xlpm.E_leach, _xlpm.E_N2O + _xlpm.E_ad + _xlpm.E_leach)</definedName>
    <definedName name="Scope3_Equations.VEERG_15_13_1_3__1_EmissionsFromSolidWasteTreatmentFacility" localSheetId="13">_xlfn.LAMBDA(_xlpm.E_N2O,_xlpm.E_ad,_xlpm.E_leach, _xlpm.E_N2O + _xlpm.E_ad + _xlpm.E_leach)</definedName>
    <definedName name="Scope3_Equations.VEERG_15_13_1_3__1_EmissionsFromSolidWasteTreatmentFacility" localSheetId="14">_xlfn.LAMBDA(_xlpm.E_N2O,_xlpm.E_ad,_xlpm.E_leach, _xlpm.E_N2O + _xlpm.E_ad + _xlpm.E_leach)</definedName>
    <definedName name="Scope3_Equations.VEERG_15_13_1_3__1_EmissionsFromSolidWasteTreatmentFacility" localSheetId="7">_xlfn.LAMBDA(_xlpm.E_N2O,_xlpm.E_ad,_xlpm.E_leach, _xlpm.E_N2O + _xlpm.E_ad + _xlpm.E_leach)</definedName>
    <definedName name="Scope3_Equations.VEERG_15_13_1_3__1_EmissionsFromSolidWasteTreatmentFacility" localSheetId="16">_xlfn.LAMBDA(_xlpm.E_N2O,_xlpm.E_ad,_xlpm.E_leach, _xlpm.E_N2O + _xlpm.E_ad + _xlpm.E_leach)</definedName>
    <definedName name="Scope3_Equations.VEERG_15_13_1_3__1_EmissionsFromSolidWasteTreatmentFacility" localSheetId="15">_xlfn.LAMBDA(_xlpm.E_N2O,_xlpm.E_ad,_xlpm.E_leach, _xlpm.E_N2O + _xlpm.E_ad + _xlpm.E_leach)</definedName>
    <definedName name="Scope3_Equations.VEERG_15_13_1_3__1_EmissionsFromSolidWasteTreatmentFacility" localSheetId="18">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 localSheetId="19">'Constants - Dairy'!$D$221</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 localSheetId="19">'Constants - Dairy'!$D$227</definedName>
    <definedName name="SourceData_Dairy_ProteinContentInMilk_Data">'Constants - Dairy'!$D$233</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P_j" localSheetId="19">'3.3.1.1-2 Enteric Methane'!$D$74:$H$75</definedName>
    <definedName name="Table_MP_j">'4.3.1.3-4 Direct N20'!$D$92:$H$93</definedName>
    <definedName name="Table_MP_j_Consumer_1">'4.3.1.1-2 Methane'!$D$73:$H$74</definedName>
    <definedName name="Table_MPW_manure_j35">'4.3.1.1-2 Methane'!$D$279:$H$280</definedName>
    <definedName name="Table_MR_j" localSheetId="19">'3.3.1.1-2 Enteric Methane'!$D$109:$H$110</definedName>
    <definedName name="Table_MR_j">'4.3.1.3-4 Direct N20'!$D$54:$H$55</definedName>
    <definedName name="Table_MR_j_Consumer_1">'4.3.1.1-2 Methane'!$D$108:$H$109</definedName>
    <definedName name="Table_MU_j_f">'5.1.1.3-4 Inorganic fert CO2'!$D$18:$G$37</definedName>
    <definedName name="Table_N_j" localSheetId="19">'3.3.1.1-2 Enteric Methane'!$D$159:$H$160</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V_w_t_offsite">'10.1.1-2 Solid waste treatment'!$D$58:$E$92</definedName>
    <definedName name="Table_V_w_t_onsite">'10.1.1-2 Solid waste treatment'!$D$20:$E$54</definedName>
    <definedName name="Table_WR_j">'4.3.1.3-4 Direct N20'!$D$23:$H$24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3_1_1__1_TotalAnnualMethaneFromEntericFermentationVariation_Result_Method1">'3.3.1.1-2 Enteric Methane'!$E$182</definedName>
    <definedName name="VEERG_3_3_1_1__1_TotalAnnualMethaneFromEntericFermentationVariation_Result_Method2">'3.3.1.1-2 Enteric Methane'!$N$182</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40">'Calcs - Manure sent off-site'!$E$55</definedName>
    <definedName name="VEERG_5_4_1_3__1_OrganicFertiliserAtmosphericDepositionN2OEmissions_Result_Method1" localSheetId="41">'Calcs - Manure sent off-site'!$E$55</definedName>
    <definedName name="VEERG_5_4_1_3__1_OrganicFertiliserAtmosphericDepositionN2OEmissions_Result_Method1" localSheetId="48">'Calcs - Manure sent off-site'!$E$55</definedName>
    <definedName name="VEERG_5_4_1_3__1_OrganicFertiliserAtmosphericDepositionN2OEmissions_Result_Method1" localSheetId="13">'Calcs - Manure sent off-site'!$E$55</definedName>
    <definedName name="VEERG_5_4_1_3__1_OrganicFertiliserAtmosphericDepositionN2OEmissions_Result_Method1" localSheetId="14">'Calcs - Manure sent off-site'!$E$55</definedName>
    <definedName name="VEERG_5_4_1_3__1_OrganicFertiliserAtmosphericDepositionN2OEmissions_Result_Method1" localSheetId="7">'Calcs - Manure sent off-site'!$E$55</definedName>
    <definedName name="VEERG_5_4_1_3__1_OrganicFertiliserAtmosphericDepositionN2OEmissions_Result_Method1" localSheetId="16">'Calcs - Manure sent off-site'!$E$55</definedName>
    <definedName name="VEERG_5_4_1_3__1_OrganicFertiliserAtmosphericDepositionN2OEmissions_Result_Method1" localSheetId="15">'Calcs - Manure sent off-site'!$E$55</definedName>
    <definedName name="VEERG_5_4_1_3__1_OrganicFertiliserAtmosphericDepositionN2OEmissions_Result_Method1" localSheetId="18">'Calcs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40">'Calcs - Manure sent off-site'!$E$90</definedName>
    <definedName name="VEERG_5_5_1_1__1_FertiliserLeachingAndRunoffN2OEmissions_Result_Method1" localSheetId="41">'Calcs - Manure sent off-site'!$E$90</definedName>
    <definedName name="VEERG_5_5_1_1__1_FertiliserLeachingAndRunoffN2OEmissions_Result_Method1" localSheetId="48">'Calcs - Manure sent off-site'!$E$90</definedName>
    <definedName name="VEERG_5_5_1_1__1_FertiliserLeachingAndRunoffN2OEmissions_Result_Method1" localSheetId="13">'Calcs - Manure sent off-site'!$E$90</definedName>
    <definedName name="VEERG_5_5_1_1__1_FertiliserLeachingAndRunoffN2OEmissions_Result_Method1" localSheetId="14">'Calcs - Manure sent off-site'!$E$90</definedName>
    <definedName name="VEERG_5_5_1_1__1_FertiliserLeachingAndRunoffN2OEmissions_Result_Method1" localSheetId="7">'Calcs - Manure sent off-site'!$E$90</definedName>
    <definedName name="VEERG_5_5_1_1__1_FertiliserLeachingAndRunoffN2OEmissions_Result_Method1" localSheetId="16">'Calcs - Manure sent off-site'!$E$90</definedName>
    <definedName name="VEERG_5_5_1_1__1_FertiliserLeachingAndRunoffN2OEmissions_Result_Method1" localSheetId="15">'Calcs - Manure sent off-site'!$E$90</definedName>
    <definedName name="VEERG_5_5_1_1__1_FertiliserLeachingAndRunoffN2OEmissions_Result_Method1" localSheetId="18">'Calcs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35">'6.3.1.1-2 Leach runoff pasture'!$E$48</definedName>
    <definedName name="VEERG_6_3_1_1__1__LeachingAndRunoffEmissionsCropAndPastureResidue_Result_Method2" localSheetId="35">'6.3.1.1-2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SoldTonnes">'Input - Enterprise'!$E$25</definedName>
    <definedName name="X_Cell_Enterprise_ManureUsedAsFertiliserTonnes">'Input - Enterprise'!$E$26</definedName>
    <definedName name="X_Cell_Enterprise_MilkProduced">'Input - Enterprise'!$E$24</definedName>
    <definedName name="X_Cell_Enterprise_MilkProducedUnit">'Input - Enterprise'!$E$23</definedName>
    <definedName name="X_Cell_Enterprise_PercentIncomeFromLiveweight">'Input - Enterprise'!$E$29</definedName>
    <definedName name="X_Cell_Enterprise_PercentIncomeFromManure">'Input - Enterprise'!$E$30</definedName>
    <definedName name="X_Cell_Enterprise_PercentIncomeFromMilk">'Input - Enterprise'!$E$28</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 name="X_Table_Result_ActivityPeriodEmissions_RowsToCols">'Results - Activity period'!$D$82:$F$87</definedName>
    <definedName name="X_Table_Result_CarbonRemovalsFromPlantings_RowsToCols">'Results - Activity period'!$D$93:$E$98</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5" i="78" l="1"/>
  <c r="A64" i="78"/>
  <c r="A63" i="78"/>
  <c r="A62" i="78"/>
  <c r="A61" i="78"/>
  <c r="A60" i="78"/>
  <c r="A59" i="78"/>
  <c r="A58" i="78"/>
  <c r="A57" i="78"/>
  <c r="A56" i="78"/>
  <c r="A52" i="78"/>
  <c r="A51" i="78"/>
  <c r="A50" i="78"/>
  <c r="A49" i="78"/>
  <c r="A48" i="78"/>
  <c r="A47" i="78"/>
  <c r="A46" i="78"/>
  <c r="A45" i="78"/>
  <c r="A44" i="78"/>
  <c r="A43" i="78"/>
  <c r="A42" i="78"/>
  <c r="A41" i="78"/>
  <c r="A40" i="78"/>
  <c r="A39" i="78"/>
  <c r="A38" i="78"/>
  <c r="A37" i="78"/>
  <c r="A36" i="78"/>
  <c r="A35" i="78"/>
  <c r="A34" i="78"/>
  <c r="A33" i="78"/>
  <c r="A32" i="78"/>
  <c r="A31" i="78"/>
  <c r="A30" i="78"/>
  <c r="A26" i="78"/>
  <c r="A25" i="78"/>
  <c r="A24" i="78"/>
  <c r="A23" i="78"/>
  <c r="A22" i="78"/>
  <c r="A21" i="78"/>
  <c r="A20" i="78"/>
  <c r="A19" i="78"/>
  <c r="A18" i="78"/>
  <c r="A17" i="78"/>
  <c r="A16" i="78"/>
  <c r="A15" i="78"/>
  <c r="A14" i="78"/>
  <c r="A13" i="78"/>
  <c r="A12" i="78"/>
  <c r="A11" i="78"/>
  <c r="A10" i="78"/>
  <c r="A6" i="78"/>
  <c r="A5" i="78"/>
  <c r="A4" i="78"/>
  <c r="A3" i="78"/>
  <c r="A65" i="125"/>
  <c r="A64" i="125"/>
  <c r="A63" i="125"/>
  <c r="A62" i="125"/>
  <c r="A61" i="125"/>
  <c r="A60" i="125"/>
  <c r="A59" i="125"/>
  <c r="A58" i="125"/>
  <c r="A57" i="125"/>
  <c r="A56" i="125"/>
  <c r="A52" i="125"/>
  <c r="A51" i="125"/>
  <c r="A50" i="125"/>
  <c r="A49" i="125"/>
  <c r="A48" i="125"/>
  <c r="A47" i="125"/>
  <c r="A46" i="125"/>
  <c r="A45" i="125"/>
  <c r="A44" i="125"/>
  <c r="A43" i="125"/>
  <c r="A42" i="125"/>
  <c r="A41" i="125"/>
  <c r="A40" i="125"/>
  <c r="A39" i="125"/>
  <c r="A38" i="125"/>
  <c r="A37" i="125"/>
  <c r="A36" i="125"/>
  <c r="A35" i="125"/>
  <c r="A34" i="125"/>
  <c r="A33" i="125"/>
  <c r="A32" i="125"/>
  <c r="A31" i="125"/>
  <c r="A30" i="125"/>
  <c r="A26" i="125"/>
  <c r="A25" i="125"/>
  <c r="A24" i="125"/>
  <c r="A23" i="125"/>
  <c r="A22" i="125"/>
  <c r="A21" i="125"/>
  <c r="A20" i="125"/>
  <c r="A19" i="125"/>
  <c r="A18" i="125"/>
  <c r="A17" i="125"/>
  <c r="A16" i="125"/>
  <c r="A15" i="125"/>
  <c r="A14" i="125"/>
  <c r="A13" i="125"/>
  <c r="A12" i="125"/>
  <c r="A11" i="125"/>
  <c r="A10" i="125"/>
  <c r="A6" i="125"/>
  <c r="A5" i="125"/>
  <c r="A4" i="125"/>
  <c r="A3" i="125"/>
  <c r="A65" i="110"/>
  <c r="A64" i="110"/>
  <c r="A63" i="110"/>
  <c r="A62" i="110"/>
  <c r="A61" i="110"/>
  <c r="A60" i="110"/>
  <c r="A59" i="110"/>
  <c r="A58" i="110"/>
  <c r="A57" i="110"/>
  <c r="A56" i="110"/>
  <c r="A52" i="110"/>
  <c r="A51" i="110"/>
  <c r="A50" i="110"/>
  <c r="A49" i="110"/>
  <c r="A48" i="110"/>
  <c r="A47" i="110"/>
  <c r="A46" i="110"/>
  <c r="A45" i="110"/>
  <c r="A44" i="110"/>
  <c r="A43" i="110"/>
  <c r="A42" i="110"/>
  <c r="A41" i="110"/>
  <c r="A40" i="110"/>
  <c r="A39" i="110"/>
  <c r="A38" i="110"/>
  <c r="A37" i="110"/>
  <c r="A36" i="110"/>
  <c r="A35" i="110"/>
  <c r="A34" i="110"/>
  <c r="A33" i="110"/>
  <c r="A32" i="110"/>
  <c r="A31" i="110"/>
  <c r="A30" i="110"/>
  <c r="A26" i="110"/>
  <c r="A25" i="110"/>
  <c r="A24" i="110"/>
  <c r="A23" i="110"/>
  <c r="A22" i="110"/>
  <c r="A21" i="110"/>
  <c r="A20" i="110"/>
  <c r="A19" i="110"/>
  <c r="A18" i="110"/>
  <c r="A17" i="110"/>
  <c r="A16" i="110"/>
  <c r="A15" i="110"/>
  <c r="A14" i="110"/>
  <c r="A13" i="110"/>
  <c r="A12" i="110"/>
  <c r="A11" i="110"/>
  <c r="A10" i="110"/>
  <c r="A6" i="110"/>
  <c r="A5" i="110"/>
  <c r="A4" i="110"/>
  <c r="A3" i="110"/>
  <c r="A65" i="81"/>
  <c r="A64" i="81"/>
  <c r="A63" i="81"/>
  <c r="A62" i="81"/>
  <c r="A61" i="81"/>
  <c r="A60" i="81"/>
  <c r="A59" i="81"/>
  <c r="A58" i="81"/>
  <c r="A57" i="81"/>
  <c r="A56" i="81"/>
  <c r="A52" i="81"/>
  <c r="A51" i="81"/>
  <c r="A50" i="81"/>
  <c r="A49" i="81"/>
  <c r="A48" i="81"/>
  <c r="A47" i="81"/>
  <c r="A46" i="81"/>
  <c r="A45" i="81"/>
  <c r="A44" i="81"/>
  <c r="A43" i="81"/>
  <c r="A42" i="81"/>
  <c r="A41" i="81"/>
  <c r="A40" i="81"/>
  <c r="A39" i="81"/>
  <c r="A38" i="81"/>
  <c r="A37" i="81"/>
  <c r="A36" i="81"/>
  <c r="A35" i="81"/>
  <c r="A34" i="81"/>
  <c r="A33" i="81"/>
  <c r="A32" i="81"/>
  <c r="A31" i="81"/>
  <c r="A30" i="81"/>
  <c r="A26" i="81"/>
  <c r="A25" i="81"/>
  <c r="A24" i="81"/>
  <c r="A23" i="81"/>
  <c r="A22" i="81"/>
  <c r="A21" i="81"/>
  <c r="A20" i="81"/>
  <c r="A19" i="81"/>
  <c r="A18" i="81"/>
  <c r="A17" i="81"/>
  <c r="A16" i="81"/>
  <c r="A15" i="81"/>
  <c r="A14" i="81"/>
  <c r="A13" i="81"/>
  <c r="A12" i="81"/>
  <c r="A11" i="81"/>
  <c r="A10" i="81"/>
  <c r="A6" i="81"/>
  <c r="A5" i="81"/>
  <c r="A4" i="81"/>
  <c r="A3" i="81"/>
  <c r="A65" i="79"/>
  <c r="A64" i="79"/>
  <c r="A63" i="79"/>
  <c r="A62" i="79"/>
  <c r="A61" i="79"/>
  <c r="A60" i="79"/>
  <c r="A59" i="79"/>
  <c r="A58" i="79"/>
  <c r="A57" i="79"/>
  <c r="A56" i="79"/>
  <c r="A52" i="79"/>
  <c r="A51" i="79"/>
  <c r="A50" i="79"/>
  <c r="A49" i="79"/>
  <c r="A48" i="79"/>
  <c r="A47" i="79"/>
  <c r="A46" i="79"/>
  <c r="A45" i="79"/>
  <c r="A44" i="79"/>
  <c r="A43" i="79"/>
  <c r="A42" i="79"/>
  <c r="A41" i="79"/>
  <c r="A40" i="79"/>
  <c r="A39" i="79"/>
  <c r="A38" i="79"/>
  <c r="A37" i="79"/>
  <c r="A36" i="79"/>
  <c r="A35" i="79"/>
  <c r="A34" i="79"/>
  <c r="A33" i="79"/>
  <c r="A32" i="79"/>
  <c r="A31" i="79"/>
  <c r="A30" i="79"/>
  <c r="A26" i="79"/>
  <c r="A25" i="79"/>
  <c r="A24" i="79"/>
  <c r="A23" i="79"/>
  <c r="A22" i="79"/>
  <c r="A21" i="79"/>
  <c r="A20" i="79"/>
  <c r="A19" i="79"/>
  <c r="A18" i="79"/>
  <c r="A17" i="79"/>
  <c r="A16" i="79"/>
  <c r="A15" i="79"/>
  <c r="A14" i="79"/>
  <c r="A13" i="79"/>
  <c r="A12" i="79"/>
  <c r="A11" i="79"/>
  <c r="A10" i="79"/>
  <c r="A6" i="79"/>
  <c r="A5" i="79"/>
  <c r="A4" i="79"/>
  <c r="A3" i="79"/>
  <c r="A65" i="123"/>
  <c r="A64" i="123"/>
  <c r="A63" i="123"/>
  <c r="A62" i="123"/>
  <c r="A61" i="123"/>
  <c r="A60" i="123"/>
  <c r="A59" i="123"/>
  <c r="A58" i="123"/>
  <c r="A57" i="123"/>
  <c r="A56" i="123"/>
  <c r="A52" i="123"/>
  <c r="A51" i="123"/>
  <c r="A50" i="123"/>
  <c r="A49" i="123"/>
  <c r="A48" i="123"/>
  <c r="A47" i="123"/>
  <c r="A46" i="123"/>
  <c r="A45" i="123"/>
  <c r="A44" i="123"/>
  <c r="A43" i="123"/>
  <c r="A42" i="123"/>
  <c r="A41" i="123"/>
  <c r="A40" i="123"/>
  <c r="A39" i="123"/>
  <c r="A38" i="123"/>
  <c r="A37" i="123"/>
  <c r="A36" i="123"/>
  <c r="A35" i="123"/>
  <c r="A34" i="123"/>
  <c r="A33" i="123"/>
  <c r="A32" i="123"/>
  <c r="A31" i="123"/>
  <c r="A30" i="123"/>
  <c r="A26" i="123"/>
  <c r="A25" i="123"/>
  <c r="A24" i="123"/>
  <c r="A23" i="123"/>
  <c r="A22" i="123"/>
  <c r="A21" i="123"/>
  <c r="A20" i="123"/>
  <c r="A19" i="123"/>
  <c r="A18" i="123"/>
  <c r="A17" i="123"/>
  <c r="A16" i="123"/>
  <c r="A15" i="123"/>
  <c r="A14" i="123"/>
  <c r="A13" i="123"/>
  <c r="A12" i="123"/>
  <c r="A11" i="123"/>
  <c r="A10" i="123"/>
  <c r="A6" i="123"/>
  <c r="A5" i="123"/>
  <c r="A4" i="123"/>
  <c r="A3" i="123"/>
  <c r="A65" i="107"/>
  <c r="A64" i="107"/>
  <c r="A63" i="107"/>
  <c r="A62" i="107"/>
  <c r="A61" i="107"/>
  <c r="A60" i="107"/>
  <c r="A59" i="107"/>
  <c r="A58" i="107"/>
  <c r="A57" i="107"/>
  <c r="A56" i="107"/>
  <c r="A52" i="107"/>
  <c r="A51" i="107"/>
  <c r="A50" i="107"/>
  <c r="A49" i="107"/>
  <c r="A48" i="107"/>
  <c r="A47" i="107"/>
  <c r="A46" i="107"/>
  <c r="A45" i="107"/>
  <c r="A44" i="107"/>
  <c r="A43" i="107"/>
  <c r="A42" i="107"/>
  <c r="A41" i="107"/>
  <c r="A40" i="107"/>
  <c r="A39" i="107"/>
  <c r="A38" i="107"/>
  <c r="A37" i="107"/>
  <c r="A36" i="107"/>
  <c r="A35" i="107"/>
  <c r="A34" i="107"/>
  <c r="A33" i="107"/>
  <c r="A32" i="107"/>
  <c r="A31" i="107"/>
  <c r="A30" i="107"/>
  <c r="A26" i="107"/>
  <c r="A25" i="107"/>
  <c r="A24" i="107"/>
  <c r="A23" i="107"/>
  <c r="A22" i="107"/>
  <c r="A21" i="107"/>
  <c r="A20" i="107"/>
  <c r="A19" i="107"/>
  <c r="A18" i="107"/>
  <c r="A17" i="107"/>
  <c r="A16" i="107"/>
  <c r="A15" i="107"/>
  <c r="A14" i="107"/>
  <c r="A13" i="107"/>
  <c r="A12" i="107"/>
  <c r="A11" i="107"/>
  <c r="A10" i="107"/>
  <c r="A6" i="107"/>
  <c r="A5" i="107"/>
  <c r="A4" i="107"/>
  <c r="A3" i="107"/>
  <c r="A65" i="100"/>
  <c r="A64" i="100"/>
  <c r="A63" i="100"/>
  <c r="A62" i="100"/>
  <c r="A61" i="100"/>
  <c r="A60" i="100"/>
  <c r="A59" i="100"/>
  <c r="A58" i="100"/>
  <c r="A57" i="100"/>
  <c r="A56" i="100"/>
  <c r="A52" i="100"/>
  <c r="A51" i="100"/>
  <c r="A50" i="100"/>
  <c r="A49" i="100"/>
  <c r="A48" i="100"/>
  <c r="A47" i="100"/>
  <c r="A46" i="100"/>
  <c r="A45" i="100"/>
  <c r="A44" i="100"/>
  <c r="A43" i="100"/>
  <c r="A42" i="100"/>
  <c r="A41" i="100"/>
  <c r="A40" i="100"/>
  <c r="A39" i="100"/>
  <c r="A38" i="100"/>
  <c r="A37" i="100"/>
  <c r="A36" i="100"/>
  <c r="A35" i="100"/>
  <c r="A34" i="100"/>
  <c r="A33" i="100"/>
  <c r="A32" i="100"/>
  <c r="A31" i="100"/>
  <c r="A30" i="100"/>
  <c r="A26" i="100"/>
  <c r="A25" i="100"/>
  <c r="A24" i="100"/>
  <c r="A23" i="100"/>
  <c r="A22" i="100"/>
  <c r="A21" i="100"/>
  <c r="A20" i="100"/>
  <c r="A19" i="100"/>
  <c r="A18" i="100"/>
  <c r="A17" i="100"/>
  <c r="A16" i="100"/>
  <c r="A15" i="100"/>
  <c r="A14" i="100"/>
  <c r="A13" i="100"/>
  <c r="A12" i="100"/>
  <c r="A11" i="100"/>
  <c r="A10" i="100"/>
  <c r="A6" i="100"/>
  <c r="A5" i="100"/>
  <c r="A4" i="100"/>
  <c r="A3" i="100"/>
  <c r="A65" i="103"/>
  <c r="A64" i="103"/>
  <c r="A63" i="103"/>
  <c r="A62" i="103"/>
  <c r="A61" i="103"/>
  <c r="A60" i="103"/>
  <c r="A59" i="103"/>
  <c r="A58" i="103"/>
  <c r="A57" i="103"/>
  <c r="A56" i="103"/>
  <c r="A52" i="103"/>
  <c r="A51" i="103"/>
  <c r="A50" i="103"/>
  <c r="A49" i="103"/>
  <c r="A48" i="103"/>
  <c r="A47" i="103"/>
  <c r="A46" i="103"/>
  <c r="A45" i="103"/>
  <c r="A44" i="103"/>
  <c r="A43" i="103"/>
  <c r="A42" i="103"/>
  <c r="A41" i="103"/>
  <c r="A40" i="103"/>
  <c r="A39" i="103"/>
  <c r="A38" i="103"/>
  <c r="A37" i="103"/>
  <c r="A36" i="103"/>
  <c r="A35" i="103"/>
  <c r="A34" i="103"/>
  <c r="A33" i="103"/>
  <c r="A32" i="103"/>
  <c r="A31" i="103"/>
  <c r="A30" i="103"/>
  <c r="A26" i="103"/>
  <c r="A25" i="103"/>
  <c r="A24" i="103"/>
  <c r="A23" i="103"/>
  <c r="A22" i="103"/>
  <c r="A21" i="103"/>
  <c r="A20" i="103"/>
  <c r="A19" i="103"/>
  <c r="A18" i="103"/>
  <c r="A17" i="103"/>
  <c r="A16" i="103"/>
  <c r="A15" i="103"/>
  <c r="A14" i="103"/>
  <c r="A13" i="103"/>
  <c r="A12" i="103"/>
  <c r="A11" i="103"/>
  <c r="A10" i="103"/>
  <c r="A6" i="103"/>
  <c r="A5" i="103"/>
  <c r="A4" i="103"/>
  <c r="A3" i="103"/>
  <c r="A65" i="124"/>
  <c r="A64" i="124"/>
  <c r="A63" i="124"/>
  <c r="A62" i="124"/>
  <c r="A61" i="124"/>
  <c r="A60" i="124"/>
  <c r="A59" i="124"/>
  <c r="A58" i="124"/>
  <c r="A57" i="124"/>
  <c r="A56" i="124"/>
  <c r="A52" i="124"/>
  <c r="A51" i="124"/>
  <c r="A50" i="124"/>
  <c r="A49" i="124"/>
  <c r="A48" i="124"/>
  <c r="A47" i="124"/>
  <c r="A46" i="124"/>
  <c r="A45" i="124"/>
  <c r="A44" i="124"/>
  <c r="A43" i="124"/>
  <c r="A42" i="124"/>
  <c r="A41" i="124"/>
  <c r="A40" i="124"/>
  <c r="A39" i="124"/>
  <c r="A38" i="124"/>
  <c r="A37" i="124"/>
  <c r="A36" i="124"/>
  <c r="A35" i="124"/>
  <c r="A34" i="124"/>
  <c r="A33" i="124"/>
  <c r="A32" i="124"/>
  <c r="A31" i="124"/>
  <c r="A30" i="124"/>
  <c r="A26" i="124"/>
  <c r="A25" i="124"/>
  <c r="A24" i="124"/>
  <c r="A23" i="124"/>
  <c r="A22" i="124"/>
  <c r="A21" i="124"/>
  <c r="A20" i="124"/>
  <c r="A19" i="124"/>
  <c r="A18" i="124"/>
  <c r="A17" i="124"/>
  <c r="A16" i="124"/>
  <c r="A15" i="124"/>
  <c r="A14" i="124"/>
  <c r="A13" i="124"/>
  <c r="A12" i="124"/>
  <c r="A11" i="124"/>
  <c r="A10" i="124"/>
  <c r="A6" i="124"/>
  <c r="A5" i="124"/>
  <c r="A4" i="124"/>
  <c r="A3" i="124"/>
  <c r="A65" i="114"/>
  <c r="A64" i="114"/>
  <c r="A63" i="114"/>
  <c r="A62" i="114"/>
  <c r="A61" i="114"/>
  <c r="A60" i="114"/>
  <c r="A59" i="114"/>
  <c r="A58" i="114"/>
  <c r="A57" i="114"/>
  <c r="A56"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6" i="114"/>
  <c r="A25" i="114"/>
  <c r="A24" i="114"/>
  <c r="A23" i="114"/>
  <c r="A22" i="114"/>
  <c r="A21" i="114"/>
  <c r="A20" i="114"/>
  <c r="A19" i="114"/>
  <c r="A18" i="114"/>
  <c r="A17" i="114"/>
  <c r="A16" i="114"/>
  <c r="A15" i="114"/>
  <c r="A14" i="114"/>
  <c r="A13" i="114"/>
  <c r="A12" i="114"/>
  <c r="A11" i="114"/>
  <c r="A10" i="114"/>
  <c r="A6" i="114"/>
  <c r="A5" i="114"/>
  <c r="A4" i="114"/>
  <c r="A3" i="114"/>
  <c r="A65" i="91"/>
  <c r="A64" i="91"/>
  <c r="A63" i="91"/>
  <c r="A62" i="91"/>
  <c r="A61" i="91"/>
  <c r="A60" i="91"/>
  <c r="A59" i="91"/>
  <c r="A58" i="91"/>
  <c r="A57" i="91"/>
  <c r="A56" i="91"/>
  <c r="A52" i="91"/>
  <c r="A51" i="91"/>
  <c r="A50" i="91"/>
  <c r="A49" i="91"/>
  <c r="A48" i="91"/>
  <c r="A47" i="91"/>
  <c r="A46" i="91"/>
  <c r="A45" i="91"/>
  <c r="A44" i="91"/>
  <c r="A43" i="91"/>
  <c r="A42" i="91"/>
  <c r="A41" i="91"/>
  <c r="A40" i="91"/>
  <c r="A39" i="91"/>
  <c r="A38" i="91"/>
  <c r="A37" i="91"/>
  <c r="A36" i="91"/>
  <c r="A35" i="91"/>
  <c r="A34" i="91"/>
  <c r="A33" i="91"/>
  <c r="A32" i="91"/>
  <c r="A31" i="91"/>
  <c r="A30" i="91"/>
  <c r="A26" i="91"/>
  <c r="A25" i="91"/>
  <c r="A24" i="91"/>
  <c r="A23" i="91"/>
  <c r="A22" i="91"/>
  <c r="A21" i="91"/>
  <c r="A20" i="91"/>
  <c r="A19" i="91"/>
  <c r="A18" i="91"/>
  <c r="A17" i="91"/>
  <c r="A16" i="91"/>
  <c r="A15" i="91"/>
  <c r="A14" i="91"/>
  <c r="A13" i="91"/>
  <c r="A12" i="91"/>
  <c r="A11" i="91"/>
  <c r="A10" i="91"/>
  <c r="A6" i="91"/>
  <c r="A5" i="91"/>
  <c r="A4" i="91"/>
  <c r="A3" i="91"/>
  <c r="A65" i="122"/>
  <c r="A64" i="122"/>
  <c r="A63" i="122"/>
  <c r="A62" i="122"/>
  <c r="A61" i="122"/>
  <c r="A60" i="122"/>
  <c r="A59" i="122"/>
  <c r="A58" i="122"/>
  <c r="A57" i="122"/>
  <c r="A56" i="122"/>
  <c r="A52" i="122"/>
  <c r="A51" i="122"/>
  <c r="A50" i="122"/>
  <c r="A49" i="122"/>
  <c r="A48" i="122"/>
  <c r="A47" i="122"/>
  <c r="A46" i="122"/>
  <c r="A45" i="122"/>
  <c r="A44" i="122"/>
  <c r="A43" i="122"/>
  <c r="A42" i="122"/>
  <c r="A41" i="122"/>
  <c r="A40" i="122"/>
  <c r="A39" i="122"/>
  <c r="A38" i="122"/>
  <c r="A37" i="122"/>
  <c r="A36" i="122"/>
  <c r="A35" i="122"/>
  <c r="A34" i="122"/>
  <c r="A33" i="122"/>
  <c r="A32" i="122"/>
  <c r="A31" i="122"/>
  <c r="A30" i="122"/>
  <c r="A26" i="122"/>
  <c r="A25" i="122"/>
  <c r="A24" i="122"/>
  <c r="A23" i="122"/>
  <c r="A22" i="122"/>
  <c r="A21" i="122"/>
  <c r="A20" i="122"/>
  <c r="A19" i="122"/>
  <c r="A18" i="122"/>
  <c r="A17" i="122"/>
  <c r="A16" i="122"/>
  <c r="A15" i="122"/>
  <c r="A14" i="122"/>
  <c r="A13" i="122"/>
  <c r="A12" i="122"/>
  <c r="A11" i="122"/>
  <c r="A10" i="122"/>
  <c r="A6" i="122"/>
  <c r="A5" i="122"/>
  <c r="A4" i="122"/>
  <c r="A3" i="122"/>
  <c r="A65" i="121"/>
  <c r="A64" i="121"/>
  <c r="A63" i="121"/>
  <c r="A62" i="121"/>
  <c r="A61" i="121"/>
  <c r="A60" i="121"/>
  <c r="A59" i="121"/>
  <c r="A58" i="121"/>
  <c r="A57" i="121"/>
  <c r="A56" i="121"/>
  <c r="A52" i="121"/>
  <c r="A51" i="121"/>
  <c r="A50" i="121"/>
  <c r="A49" i="121"/>
  <c r="A48" i="121"/>
  <c r="A47" i="121"/>
  <c r="A46" i="121"/>
  <c r="A45" i="121"/>
  <c r="A44" i="121"/>
  <c r="A43" i="121"/>
  <c r="A42" i="121"/>
  <c r="A41" i="121"/>
  <c r="A40" i="121"/>
  <c r="A39" i="121"/>
  <c r="A38" i="121"/>
  <c r="A37" i="121"/>
  <c r="A36" i="121"/>
  <c r="A35" i="121"/>
  <c r="A34" i="121"/>
  <c r="A33" i="121"/>
  <c r="A32" i="121"/>
  <c r="A31" i="121"/>
  <c r="A30" i="121"/>
  <c r="A26" i="121"/>
  <c r="A25" i="121"/>
  <c r="A24" i="121"/>
  <c r="A23" i="121"/>
  <c r="A22" i="121"/>
  <c r="A21" i="121"/>
  <c r="A20" i="121"/>
  <c r="A19" i="121"/>
  <c r="A18" i="121"/>
  <c r="A17" i="121"/>
  <c r="A16" i="121"/>
  <c r="A15" i="121"/>
  <c r="A14" i="121"/>
  <c r="A13" i="121"/>
  <c r="A12" i="121"/>
  <c r="A11" i="121"/>
  <c r="A10" i="121"/>
  <c r="A6" i="121"/>
  <c r="A5" i="121"/>
  <c r="A4" i="121"/>
  <c r="A3" i="121"/>
  <c r="A65" i="102"/>
  <c r="A64" i="102"/>
  <c r="A63" i="102"/>
  <c r="A62" i="102"/>
  <c r="A61" i="102"/>
  <c r="A60" i="102"/>
  <c r="A59" i="102"/>
  <c r="A58" i="102"/>
  <c r="A57" i="102"/>
  <c r="A56" i="102"/>
  <c r="A52" i="102"/>
  <c r="A51" i="102"/>
  <c r="A50" i="102"/>
  <c r="A49" i="102"/>
  <c r="A48" i="102"/>
  <c r="A47" i="102"/>
  <c r="A46" i="102"/>
  <c r="A45" i="102"/>
  <c r="A44" i="102"/>
  <c r="A43" i="102"/>
  <c r="A42" i="102"/>
  <c r="A41" i="102"/>
  <c r="A40" i="102"/>
  <c r="A39" i="102"/>
  <c r="A38" i="102"/>
  <c r="A37" i="102"/>
  <c r="A36" i="102"/>
  <c r="A35" i="102"/>
  <c r="A34" i="102"/>
  <c r="A33" i="102"/>
  <c r="A32" i="102"/>
  <c r="A31" i="102"/>
  <c r="A30" i="102"/>
  <c r="A26" i="102"/>
  <c r="A25" i="102"/>
  <c r="A24" i="102"/>
  <c r="A23" i="102"/>
  <c r="A22" i="102"/>
  <c r="A21" i="102"/>
  <c r="A20" i="102"/>
  <c r="A19" i="102"/>
  <c r="A18" i="102"/>
  <c r="A17" i="102"/>
  <c r="A16" i="102"/>
  <c r="A15" i="102"/>
  <c r="A14" i="102"/>
  <c r="A13" i="102"/>
  <c r="A12" i="102"/>
  <c r="A11" i="102"/>
  <c r="A10" i="102"/>
  <c r="A6" i="102"/>
  <c r="A5" i="102"/>
  <c r="A4" i="102"/>
  <c r="A3" i="102"/>
  <c r="A65" i="109"/>
  <c r="A64" i="109"/>
  <c r="A63" i="109"/>
  <c r="A62" i="109"/>
  <c r="A61" i="109"/>
  <c r="A60" i="109"/>
  <c r="A59" i="109"/>
  <c r="A58" i="109"/>
  <c r="A57" i="109"/>
  <c r="A56" i="109"/>
  <c r="A52" i="109"/>
  <c r="A51" i="109"/>
  <c r="A50" i="109"/>
  <c r="A49" i="109"/>
  <c r="A48" i="109"/>
  <c r="A47" i="109"/>
  <c r="A46" i="109"/>
  <c r="A45" i="109"/>
  <c r="A44" i="109"/>
  <c r="A43" i="109"/>
  <c r="A42" i="109"/>
  <c r="A41" i="109"/>
  <c r="A40" i="109"/>
  <c r="A39" i="109"/>
  <c r="A38" i="109"/>
  <c r="A37" i="109"/>
  <c r="A36" i="109"/>
  <c r="A35" i="109"/>
  <c r="A34" i="109"/>
  <c r="A33" i="109"/>
  <c r="A32" i="109"/>
  <c r="A31" i="109"/>
  <c r="A30" i="109"/>
  <c r="A26" i="109"/>
  <c r="A25" i="109"/>
  <c r="A24" i="109"/>
  <c r="A23" i="109"/>
  <c r="A22" i="109"/>
  <c r="A21" i="109"/>
  <c r="A20" i="109"/>
  <c r="A19" i="109"/>
  <c r="A18" i="109"/>
  <c r="A17" i="109"/>
  <c r="A16" i="109"/>
  <c r="A15" i="109"/>
  <c r="A14" i="109"/>
  <c r="A13" i="109"/>
  <c r="A12" i="109"/>
  <c r="A11" i="109"/>
  <c r="A10" i="109"/>
  <c r="A6" i="109"/>
  <c r="A5" i="109"/>
  <c r="A4" i="109"/>
  <c r="A3" i="109"/>
  <c r="A65" i="106"/>
  <c r="A64" i="106"/>
  <c r="A63" i="106"/>
  <c r="A62" i="106"/>
  <c r="A61" i="106"/>
  <c r="A60" i="106"/>
  <c r="A59" i="106"/>
  <c r="A58" i="106"/>
  <c r="A57" i="106"/>
  <c r="A56" i="106"/>
  <c r="A52" i="106"/>
  <c r="A51" i="106"/>
  <c r="A50" i="106"/>
  <c r="A49" i="106"/>
  <c r="A48" i="106"/>
  <c r="A47" i="106"/>
  <c r="A46" i="106"/>
  <c r="A45" i="106"/>
  <c r="A44" i="106"/>
  <c r="A43" i="106"/>
  <c r="A42" i="106"/>
  <c r="A41" i="106"/>
  <c r="A40" i="106"/>
  <c r="A39" i="106"/>
  <c r="A38" i="106"/>
  <c r="A37" i="106"/>
  <c r="A36" i="106"/>
  <c r="A35" i="106"/>
  <c r="A34" i="106"/>
  <c r="A33" i="106"/>
  <c r="A32" i="106"/>
  <c r="A31" i="106"/>
  <c r="A30" i="106"/>
  <c r="A26" i="106"/>
  <c r="A25" i="106"/>
  <c r="A24" i="106"/>
  <c r="A23" i="106"/>
  <c r="A22" i="106"/>
  <c r="A21" i="106"/>
  <c r="A20" i="106"/>
  <c r="A19" i="106"/>
  <c r="A18" i="106"/>
  <c r="A17" i="106"/>
  <c r="A16" i="106"/>
  <c r="A15" i="106"/>
  <c r="A14" i="106"/>
  <c r="A13" i="106"/>
  <c r="A12" i="106"/>
  <c r="A11" i="106"/>
  <c r="A10" i="106"/>
  <c r="A6" i="106"/>
  <c r="A5" i="106"/>
  <c r="A4" i="106"/>
  <c r="A3" i="106"/>
  <c r="A65" i="105"/>
  <c r="A64" i="105"/>
  <c r="A63" i="105"/>
  <c r="A62" i="105"/>
  <c r="A61" i="105"/>
  <c r="A60" i="105"/>
  <c r="A59" i="105"/>
  <c r="A58" i="105"/>
  <c r="A57" i="105"/>
  <c r="A56" i="105"/>
  <c r="A52" i="105"/>
  <c r="A51" i="105"/>
  <c r="A50" i="105"/>
  <c r="A49" i="105"/>
  <c r="A48" i="105"/>
  <c r="A47" i="105"/>
  <c r="A46" i="105"/>
  <c r="A45" i="105"/>
  <c r="A44" i="105"/>
  <c r="A43" i="105"/>
  <c r="A42" i="105"/>
  <c r="A41" i="105"/>
  <c r="A40" i="105"/>
  <c r="A39" i="105"/>
  <c r="A38" i="105"/>
  <c r="A37" i="105"/>
  <c r="A36" i="105"/>
  <c r="A35" i="105"/>
  <c r="A34" i="105"/>
  <c r="A33" i="105"/>
  <c r="A32" i="105"/>
  <c r="A31" i="105"/>
  <c r="A30" i="105"/>
  <c r="A26" i="105"/>
  <c r="A25" i="105"/>
  <c r="A24" i="105"/>
  <c r="A23" i="105"/>
  <c r="A22" i="105"/>
  <c r="A21" i="105"/>
  <c r="A20" i="105"/>
  <c r="A19" i="105"/>
  <c r="A18" i="105"/>
  <c r="A17" i="105"/>
  <c r="A16" i="105"/>
  <c r="A15" i="105"/>
  <c r="A14" i="105"/>
  <c r="A13" i="105"/>
  <c r="A12" i="105"/>
  <c r="A11" i="105"/>
  <c r="A10" i="105"/>
  <c r="A6" i="105"/>
  <c r="A5" i="105"/>
  <c r="A4" i="105"/>
  <c r="A3" i="105"/>
  <c r="A65" i="113"/>
  <c r="A64" i="113"/>
  <c r="A63" i="113"/>
  <c r="A62" i="113"/>
  <c r="A61" i="113"/>
  <c r="A60" i="113"/>
  <c r="A59" i="113"/>
  <c r="A58" i="113"/>
  <c r="A57" i="113"/>
  <c r="A56" i="113"/>
  <c r="A52" i="113"/>
  <c r="A51" i="113"/>
  <c r="A50" i="113"/>
  <c r="A49" i="113"/>
  <c r="A48" i="113"/>
  <c r="A47" i="113"/>
  <c r="A46" i="113"/>
  <c r="A45" i="113"/>
  <c r="A44" i="113"/>
  <c r="A43" i="113"/>
  <c r="A42" i="113"/>
  <c r="A41" i="113"/>
  <c r="A40" i="113"/>
  <c r="A39" i="113"/>
  <c r="A38" i="113"/>
  <c r="A37" i="113"/>
  <c r="A36" i="113"/>
  <c r="A35" i="113"/>
  <c r="A34" i="113"/>
  <c r="A33" i="113"/>
  <c r="A32" i="113"/>
  <c r="A31" i="113"/>
  <c r="A30" i="113"/>
  <c r="A26" i="113"/>
  <c r="A25" i="113"/>
  <c r="A24" i="113"/>
  <c r="A23" i="113"/>
  <c r="A22" i="113"/>
  <c r="A21" i="113"/>
  <c r="A20" i="113"/>
  <c r="A19" i="113"/>
  <c r="A18" i="113"/>
  <c r="A17" i="113"/>
  <c r="A16" i="113"/>
  <c r="A15" i="113"/>
  <c r="A14" i="113"/>
  <c r="A13" i="113"/>
  <c r="A12" i="113"/>
  <c r="A11" i="113"/>
  <c r="A10" i="113"/>
  <c r="A6" i="113"/>
  <c r="A5" i="113"/>
  <c r="A4" i="113"/>
  <c r="A3" i="113"/>
  <c r="A65" i="112"/>
  <c r="A64" i="112"/>
  <c r="A63" i="112"/>
  <c r="A62" i="112"/>
  <c r="A61" i="112"/>
  <c r="A60" i="112"/>
  <c r="A59" i="112"/>
  <c r="A58" i="112"/>
  <c r="A57" i="112"/>
  <c r="A56" i="112"/>
  <c r="A52" i="112"/>
  <c r="A51" i="112"/>
  <c r="A50" i="112"/>
  <c r="A49" i="112"/>
  <c r="A48" i="112"/>
  <c r="A47" i="112"/>
  <c r="A46" i="112"/>
  <c r="A45" i="112"/>
  <c r="A44" i="112"/>
  <c r="A43" i="112"/>
  <c r="A42" i="112"/>
  <c r="A41" i="112"/>
  <c r="A40" i="112"/>
  <c r="A39" i="112"/>
  <c r="A38" i="112"/>
  <c r="A37" i="112"/>
  <c r="A36" i="112"/>
  <c r="A35" i="112"/>
  <c r="A34" i="112"/>
  <c r="A33" i="112"/>
  <c r="A32" i="112"/>
  <c r="A31" i="112"/>
  <c r="A30" i="112"/>
  <c r="A26" i="112"/>
  <c r="A25" i="112"/>
  <c r="A24" i="112"/>
  <c r="A23" i="112"/>
  <c r="A22" i="112"/>
  <c r="A21" i="112"/>
  <c r="A20" i="112"/>
  <c r="A19" i="112"/>
  <c r="A18" i="112"/>
  <c r="A17" i="112"/>
  <c r="A16" i="112"/>
  <c r="A15" i="112"/>
  <c r="A14" i="112"/>
  <c r="A13" i="112"/>
  <c r="A12" i="112"/>
  <c r="A11" i="112"/>
  <c r="A10" i="112"/>
  <c r="A6" i="112"/>
  <c r="A5" i="112"/>
  <c r="A4" i="112"/>
  <c r="A3" i="112"/>
  <c r="A65" i="99"/>
  <c r="A64" i="99"/>
  <c r="A63" i="99"/>
  <c r="A62" i="99"/>
  <c r="A61" i="99"/>
  <c r="A60" i="99"/>
  <c r="A59" i="99"/>
  <c r="A58" i="99"/>
  <c r="A57" i="99"/>
  <c r="A56" i="99"/>
  <c r="A52" i="99"/>
  <c r="A51" i="99"/>
  <c r="A50" i="99"/>
  <c r="A49" i="99"/>
  <c r="A48" i="99"/>
  <c r="A47" i="99"/>
  <c r="A46" i="99"/>
  <c r="A45" i="99"/>
  <c r="A44" i="99"/>
  <c r="A43" i="99"/>
  <c r="A42" i="99"/>
  <c r="A41" i="99"/>
  <c r="A40" i="99"/>
  <c r="A39" i="99"/>
  <c r="A38" i="99"/>
  <c r="A37" i="99"/>
  <c r="A36" i="99"/>
  <c r="A35" i="99"/>
  <c r="A34" i="99"/>
  <c r="A33" i="99"/>
  <c r="A32" i="99"/>
  <c r="A31" i="99"/>
  <c r="A30" i="99"/>
  <c r="A26" i="99"/>
  <c r="A25" i="99"/>
  <c r="A24" i="99"/>
  <c r="A23" i="99"/>
  <c r="A22" i="99"/>
  <c r="A21" i="99"/>
  <c r="A20" i="99"/>
  <c r="A19" i="99"/>
  <c r="A18" i="99"/>
  <c r="A17" i="99"/>
  <c r="A16" i="99"/>
  <c r="A15" i="99"/>
  <c r="A14" i="99"/>
  <c r="A13" i="99"/>
  <c r="A12" i="99"/>
  <c r="A11" i="99"/>
  <c r="A10" i="99"/>
  <c r="A6" i="99"/>
  <c r="A5" i="99"/>
  <c r="A4" i="99"/>
  <c r="A3" i="99"/>
  <c r="A65" i="98"/>
  <c r="A64" i="98"/>
  <c r="A63" i="98"/>
  <c r="A62" i="98"/>
  <c r="A61" i="98"/>
  <c r="A60" i="98"/>
  <c r="A59" i="98"/>
  <c r="A58" i="98"/>
  <c r="A57" i="98"/>
  <c r="A56" i="98"/>
  <c r="A52" i="98"/>
  <c r="A51" i="98"/>
  <c r="A50" i="98"/>
  <c r="A49" i="98"/>
  <c r="A48" i="98"/>
  <c r="A47" i="98"/>
  <c r="A46" i="98"/>
  <c r="A45" i="98"/>
  <c r="A44" i="98"/>
  <c r="A43" i="98"/>
  <c r="A42" i="98"/>
  <c r="A41" i="98"/>
  <c r="A40" i="98"/>
  <c r="A39" i="98"/>
  <c r="A38" i="98"/>
  <c r="A37" i="98"/>
  <c r="A36" i="98"/>
  <c r="A35" i="98"/>
  <c r="A34" i="98"/>
  <c r="A33" i="98"/>
  <c r="A32" i="98"/>
  <c r="A31" i="98"/>
  <c r="A30" i="98"/>
  <c r="A26" i="98"/>
  <c r="A25" i="98"/>
  <c r="A24" i="98"/>
  <c r="A23" i="98"/>
  <c r="A22" i="98"/>
  <c r="A21" i="98"/>
  <c r="A20" i="98"/>
  <c r="A19" i="98"/>
  <c r="A18" i="98"/>
  <c r="A17" i="98"/>
  <c r="A16" i="98"/>
  <c r="A15" i="98"/>
  <c r="A14" i="98"/>
  <c r="A13" i="98"/>
  <c r="A12" i="98"/>
  <c r="A11" i="98"/>
  <c r="A10" i="98"/>
  <c r="A6" i="98"/>
  <c r="A5" i="98"/>
  <c r="A4" i="98"/>
  <c r="A3" i="98"/>
  <c r="A65" i="97"/>
  <c r="A64" i="97"/>
  <c r="A63" i="97"/>
  <c r="A62" i="97"/>
  <c r="A61" i="97"/>
  <c r="A60" i="97"/>
  <c r="A59" i="97"/>
  <c r="A58" i="97"/>
  <c r="A57" i="97"/>
  <c r="A56" i="97"/>
  <c r="A52" i="97"/>
  <c r="A51" i="97"/>
  <c r="A50" i="97"/>
  <c r="A49" i="97"/>
  <c r="A48" i="97"/>
  <c r="A47" i="97"/>
  <c r="A46" i="97"/>
  <c r="A45" i="97"/>
  <c r="A44" i="97"/>
  <c r="A43" i="97"/>
  <c r="A42" i="97"/>
  <c r="A41" i="97"/>
  <c r="A40" i="97"/>
  <c r="A39" i="97"/>
  <c r="A38" i="97"/>
  <c r="A37" i="97"/>
  <c r="A36" i="97"/>
  <c r="A35" i="97"/>
  <c r="A34" i="97"/>
  <c r="A33" i="97"/>
  <c r="A32" i="97"/>
  <c r="A31" i="97"/>
  <c r="A30" i="97"/>
  <c r="A26" i="97"/>
  <c r="A25" i="97"/>
  <c r="A24" i="97"/>
  <c r="A23" i="97"/>
  <c r="A22" i="97"/>
  <c r="A21" i="97"/>
  <c r="A20" i="97"/>
  <c r="A19" i="97"/>
  <c r="A18" i="97"/>
  <c r="A17" i="97"/>
  <c r="A16" i="97"/>
  <c r="A15" i="97"/>
  <c r="A14" i="97"/>
  <c r="A13" i="97"/>
  <c r="A12" i="97"/>
  <c r="A11" i="97"/>
  <c r="A10" i="97"/>
  <c r="A6" i="97"/>
  <c r="A5" i="97"/>
  <c r="A4" i="97"/>
  <c r="A3" i="97"/>
  <c r="A65" i="96"/>
  <c r="A64" i="96"/>
  <c r="A63" i="96"/>
  <c r="A62" i="96"/>
  <c r="A61" i="96"/>
  <c r="A60" i="96"/>
  <c r="A59" i="96"/>
  <c r="A58" i="96"/>
  <c r="A57" i="96"/>
  <c r="A56" i="96"/>
  <c r="A52" i="96"/>
  <c r="A51" i="96"/>
  <c r="A50" i="96"/>
  <c r="A49" i="96"/>
  <c r="A48" i="96"/>
  <c r="A47" i="96"/>
  <c r="A46" i="96"/>
  <c r="A45" i="96"/>
  <c r="A44" i="96"/>
  <c r="A43" i="96"/>
  <c r="A42" i="96"/>
  <c r="A41" i="96"/>
  <c r="A40" i="96"/>
  <c r="A39" i="96"/>
  <c r="A38" i="96"/>
  <c r="A37" i="96"/>
  <c r="A36" i="96"/>
  <c r="A35" i="96"/>
  <c r="A34" i="96"/>
  <c r="A33" i="96"/>
  <c r="A32" i="96"/>
  <c r="A31" i="96"/>
  <c r="A30" i="96"/>
  <c r="A26" i="96"/>
  <c r="A25" i="96"/>
  <c r="A24" i="96"/>
  <c r="A23" i="96"/>
  <c r="A22" i="96"/>
  <c r="A21" i="96"/>
  <c r="A20" i="96"/>
  <c r="A19" i="96"/>
  <c r="A18" i="96"/>
  <c r="A17" i="96"/>
  <c r="A16" i="96"/>
  <c r="A15" i="96"/>
  <c r="A14" i="96"/>
  <c r="A13" i="96"/>
  <c r="A12" i="96"/>
  <c r="A11" i="96"/>
  <c r="A10" i="96"/>
  <c r="A6" i="96"/>
  <c r="A5" i="96"/>
  <c r="A4" i="96"/>
  <c r="A3" i="96"/>
  <c r="A65" i="95"/>
  <c r="A64" i="95"/>
  <c r="A63" i="95"/>
  <c r="A62" i="95"/>
  <c r="A61" i="95"/>
  <c r="A60" i="95"/>
  <c r="A59" i="95"/>
  <c r="A58" i="95"/>
  <c r="A57" i="95"/>
  <c r="A56" i="95"/>
  <c r="A52" i="95"/>
  <c r="A51" i="95"/>
  <c r="A50" i="95"/>
  <c r="A49" i="95"/>
  <c r="A48" i="95"/>
  <c r="A47" i="95"/>
  <c r="A46" i="95"/>
  <c r="A45" i="95"/>
  <c r="A44" i="95"/>
  <c r="A43" i="95"/>
  <c r="A42" i="95"/>
  <c r="A41" i="95"/>
  <c r="A40" i="95"/>
  <c r="A39" i="95"/>
  <c r="A38" i="95"/>
  <c r="A37" i="95"/>
  <c r="A36" i="95"/>
  <c r="A35" i="95"/>
  <c r="A34" i="95"/>
  <c r="A33" i="95"/>
  <c r="A32" i="95"/>
  <c r="A31" i="95"/>
  <c r="A30" i="95"/>
  <c r="A26" i="95"/>
  <c r="A25" i="95"/>
  <c r="A24" i="95"/>
  <c r="A23" i="95"/>
  <c r="A22" i="95"/>
  <c r="A21" i="95"/>
  <c r="A20" i="95"/>
  <c r="A19" i="95"/>
  <c r="A18" i="95"/>
  <c r="A17" i="95"/>
  <c r="A16" i="95"/>
  <c r="A15" i="95"/>
  <c r="A14" i="95"/>
  <c r="A13" i="95"/>
  <c r="A12" i="95"/>
  <c r="A11" i="95"/>
  <c r="A10" i="95"/>
  <c r="A6" i="95"/>
  <c r="A5" i="95"/>
  <c r="A4" i="95"/>
  <c r="A3" i="95"/>
  <c r="A65" i="94"/>
  <c r="A64" i="94"/>
  <c r="A63" i="94"/>
  <c r="A62" i="94"/>
  <c r="A61" i="94"/>
  <c r="A60" i="94"/>
  <c r="A59" i="94"/>
  <c r="A58" i="94"/>
  <c r="A57" i="94"/>
  <c r="A56" i="94"/>
  <c r="A52" i="94"/>
  <c r="A51" i="94"/>
  <c r="A50" i="94"/>
  <c r="A49" i="94"/>
  <c r="A48" i="94"/>
  <c r="A47" i="94"/>
  <c r="A46" i="94"/>
  <c r="A45" i="94"/>
  <c r="A44" i="94"/>
  <c r="A43" i="94"/>
  <c r="A42" i="94"/>
  <c r="A41" i="94"/>
  <c r="A40" i="94"/>
  <c r="A39" i="94"/>
  <c r="A38" i="94"/>
  <c r="A37" i="94"/>
  <c r="A36" i="94"/>
  <c r="A35" i="94"/>
  <c r="A34" i="94"/>
  <c r="A33" i="94"/>
  <c r="A32" i="94"/>
  <c r="A31" i="94"/>
  <c r="A30" i="94"/>
  <c r="A26" i="94"/>
  <c r="A25" i="94"/>
  <c r="A24" i="94"/>
  <c r="A23" i="94"/>
  <c r="A22" i="94"/>
  <c r="A21" i="94"/>
  <c r="A20" i="94"/>
  <c r="A19" i="94"/>
  <c r="A18" i="94"/>
  <c r="A17" i="94"/>
  <c r="A16" i="94"/>
  <c r="A15" i="94"/>
  <c r="A14" i="94"/>
  <c r="A13" i="94"/>
  <c r="A12" i="94"/>
  <c r="A11" i="94"/>
  <c r="A10" i="94"/>
  <c r="A6" i="94"/>
  <c r="A5" i="94"/>
  <c r="A4" i="94"/>
  <c r="A3" i="94"/>
  <c r="A65" i="90"/>
  <c r="A64" i="90"/>
  <c r="A63" i="90"/>
  <c r="A62" i="90"/>
  <c r="A61" i="90"/>
  <c r="A60" i="90"/>
  <c r="A59" i="90"/>
  <c r="A58" i="90"/>
  <c r="A57" i="90"/>
  <c r="A56" i="90"/>
  <c r="A52" i="90"/>
  <c r="A51" i="90"/>
  <c r="A50" i="90"/>
  <c r="A49" i="90"/>
  <c r="A48" i="90"/>
  <c r="A47" i="90"/>
  <c r="A46" i="90"/>
  <c r="A45" i="90"/>
  <c r="A44" i="90"/>
  <c r="A43" i="90"/>
  <c r="A42" i="90"/>
  <c r="A41" i="90"/>
  <c r="A40" i="90"/>
  <c r="A39" i="90"/>
  <c r="A38" i="90"/>
  <c r="A37" i="90"/>
  <c r="A36" i="90"/>
  <c r="A35" i="90"/>
  <c r="A34" i="90"/>
  <c r="A33" i="90"/>
  <c r="A32" i="90"/>
  <c r="A31" i="90"/>
  <c r="A30" i="90"/>
  <c r="A26" i="90"/>
  <c r="A25" i="90"/>
  <c r="A24" i="90"/>
  <c r="A23" i="90"/>
  <c r="A22" i="90"/>
  <c r="A21" i="90"/>
  <c r="A20" i="90"/>
  <c r="A19" i="90"/>
  <c r="A18" i="90"/>
  <c r="A17" i="90"/>
  <c r="A16" i="90"/>
  <c r="A15" i="90"/>
  <c r="A14" i="90"/>
  <c r="A13" i="90"/>
  <c r="A12" i="90"/>
  <c r="A11" i="90"/>
  <c r="A10" i="90"/>
  <c r="A6" i="90"/>
  <c r="A5" i="90"/>
  <c r="A4" i="90"/>
  <c r="A3" i="90"/>
  <c r="A65" i="89"/>
  <c r="A64" i="89"/>
  <c r="A63" i="89"/>
  <c r="A62" i="89"/>
  <c r="A61" i="89"/>
  <c r="A60" i="89"/>
  <c r="A59" i="89"/>
  <c r="A58" i="89"/>
  <c r="A57" i="89"/>
  <c r="A56" i="89"/>
  <c r="A52" i="89"/>
  <c r="A51" i="89"/>
  <c r="A50" i="89"/>
  <c r="A49" i="89"/>
  <c r="A48" i="89"/>
  <c r="A47" i="89"/>
  <c r="A46" i="89"/>
  <c r="A45" i="89"/>
  <c r="A44" i="89"/>
  <c r="A43" i="89"/>
  <c r="A42" i="89"/>
  <c r="A41" i="89"/>
  <c r="A40" i="89"/>
  <c r="A39" i="89"/>
  <c r="A38" i="89"/>
  <c r="A37" i="89"/>
  <c r="A36" i="89"/>
  <c r="A35" i="89"/>
  <c r="A34" i="89"/>
  <c r="A33" i="89"/>
  <c r="A32" i="89"/>
  <c r="A31" i="89"/>
  <c r="A30" i="89"/>
  <c r="A26" i="89"/>
  <c r="A25" i="89"/>
  <c r="A24" i="89"/>
  <c r="A23" i="89"/>
  <c r="A22" i="89"/>
  <c r="A21" i="89"/>
  <c r="A20" i="89"/>
  <c r="A19" i="89"/>
  <c r="A18" i="89"/>
  <c r="A17" i="89"/>
  <c r="A16" i="89"/>
  <c r="A15" i="89"/>
  <c r="A14" i="89"/>
  <c r="A13" i="89"/>
  <c r="A12" i="89"/>
  <c r="A11" i="89"/>
  <c r="A10" i="89"/>
  <c r="A6" i="89"/>
  <c r="A5" i="89"/>
  <c r="A4" i="89"/>
  <c r="A3" i="89"/>
  <c r="A65" i="88"/>
  <c r="A64" i="88"/>
  <c r="A63" i="88"/>
  <c r="A62" i="88"/>
  <c r="A61" i="88"/>
  <c r="A60" i="88"/>
  <c r="A59" i="88"/>
  <c r="A58" i="88"/>
  <c r="A57" i="88"/>
  <c r="A56" i="88"/>
  <c r="A52" i="88"/>
  <c r="A51" i="88"/>
  <c r="A50" i="88"/>
  <c r="A49" i="88"/>
  <c r="A48" i="88"/>
  <c r="A47" i="88"/>
  <c r="A46" i="88"/>
  <c r="A45" i="88"/>
  <c r="A44" i="88"/>
  <c r="A43" i="88"/>
  <c r="A42" i="88"/>
  <c r="A41" i="88"/>
  <c r="A40" i="88"/>
  <c r="A39" i="88"/>
  <c r="A38" i="88"/>
  <c r="A37" i="88"/>
  <c r="A36" i="88"/>
  <c r="A35" i="88"/>
  <c r="A34" i="88"/>
  <c r="A33" i="88"/>
  <c r="A32" i="88"/>
  <c r="A31" i="88"/>
  <c r="A30" i="88"/>
  <c r="A26" i="88"/>
  <c r="A25" i="88"/>
  <c r="A24" i="88"/>
  <c r="A23" i="88"/>
  <c r="A22" i="88"/>
  <c r="A21" i="88"/>
  <c r="A20" i="88"/>
  <c r="A19" i="88"/>
  <c r="A18" i="88"/>
  <c r="A17" i="88"/>
  <c r="A16" i="88"/>
  <c r="A15" i="88"/>
  <c r="A14" i="88"/>
  <c r="A13" i="88"/>
  <c r="A12" i="88"/>
  <c r="A11" i="88"/>
  <c r="A10" i="88"/>
  <c r="A6" i="88"/>
  <c r="A5" i="88"/>
  <c r="A4" i="88"/>
  <c r="A3" i="88"/>
  <c r="A65" i="87"/>
  <c r="A64" i="87"/>
  <c r="A63" i="87"/>
  <c r="A62" i="87"/>
  <c r="A61" i="87"/>
  <c r="A60" i="87"/>
  <c r="A59" i="87"/>
  <c r="A58" i="87"/>
  <c r="A57" i="87"/>
  <c r="A56" i="87"/>
  <c r="A52" i="87"/>
  <c r="A51" i="87"/>
  <c r="A50" i="87"/>
  <c r="A49" i="87"/>
  <c r="A48" i="87"/>
  <c r="A47" i="87"/>
  <c r="A46" i="87"/>
  <c r="A45" i="87"/>
  <c r="A44" i="87"/>
  <c r="A43" i="87"/>
  <c r="A42" i="87"/>
  <c r="A41" i="87"/>
  <c r="A40" i="87"/>
  <c r="A39" i="87"/>
  <c r="A38" i="87"/>
  <c r="A37" i="87"/>
  <c r="A36" i="87"/>
  <c r="A35" i="87"/>
  <c r="A34" i="87"/>
  <c r="A33" i="87"/>
  <c r="A32" i="87"/>
  <c r="A31" i="87"/>
  <c r="A30" i="87"/>
  <c r="A26" i="87"/>
  <c r="A25" i="87"/>
  <c r="A24" i="87"/>
  <c r="A23" i="87"/>
  <c r="A22" i="87"/>
  <c r="A21" i="87"/>
  <c r="A20" i="87"/>
  <c r="A19" i="87"/>
  <c r="A18" i="87"/>
  <c r="A17" i="87"/>
  <c r="A16" i="87"/>
  <c r="A15" i="87"/>
  <c r="A14" i="87"/>
  <c r="A13" i="87"/>
  <c r="A12" i="87"/>
  <c r="A11" i="87"/>
  <c r="A10" i="87"/>
  <c r="A6" i="87"/>
  <c r="A5" i="87"/>
  <c r="A4" i="87"/>
  <c r="A3" i="87"/>
  <c r="A65" i="86"/>
  <c r="A64" i="86"/>
  <c r="A63" i="86"/>
  <c r="A62" i="86"/>
  <c r="A61" i="86"/>
  <c r="A60" i="86"/>
  <c r="A59" i="86"/>
  <c r="A58" i="86"/>
  <c r="A57" i="86"/>
  <c r="A56" i="86"/>
  <c r="A52" i="86"/>
  <c r="A51" i="86"/>
  <c r="A50" i="86"/>
  <c r="A49" i="86"/>
  <c r="A48" i="86"/>
  <c r="A47" i="86"/>
  <c r="A46" i="86"/>
  <c r="A45" i="86"/>
  <c r="A44" i="86"/>
  <c r="A43" i="86"/>
  <c r="A42" i="86"/>
  <c r="A41" i="86"/>
  <c r="A40" i="86"/>
  <c r="A39" i="86"/>
  <c r="A38" i="86"/>
  <c r="A37" i="86"/>
  <c r="A36" i="86"/>
  <c r="A35" i="86"/>
  <c r="A34" i="86"/>
  <c r="A33" i="86"/>
  <c r="A32" i="86"/>
  <c r="A31" i="86"/>
  <c r="A30" i="86"/>
  <c r="A26" i="86"/>
  <c r="A25" i="86"/>
  <c r="A24" i="86"/>
  <c r="A23" i="86"/>
  <c r="A22" i="86"/>
  <c r="A21" i="86"/>
  <c r="A20" i="86"/>
  <c r="A19" i="86"/>
  <c r="A18" i="86"/>
  <c r="A17" i="86"/>
  <c r="A16" i="86"/>
  <c r="A15" i="86"/>
  <c r="A14" i="86"/>
  <c r="A13" i="86"/>
  <c r="A12" i="86"/>
  <c r="A11" i="86"/>
  <c r="A10" i="86"/>
  <c r="A6" i="86"/>
  <c r="A5" i="86"/>
  <c r="A4" i="86"/>
  <c r="A3" i="86"/>
  <c r="A65" i="85"/>
  <c r="A64" i="85"/>
  <c r="A63" i="85"/>
  <c r="A62" i="85"/>
  <c r="A61" i="85"/>
  <c r="A60" i="85"/>
  <c r="A59" i="85"/>
  <c r="A58" i="85"/>
  <c r="A57" i="85"/>
  <c r="A56" i="85"/>
  <c r="A52" i="85"/>
  <c r="A51" i="85"/>
  <c r="A50" i="85"/>
  <c r="A49" i="85"/>
  <c r="A48" i="85"/>
  <c r="A47" i="85"/>
  <c r="A46" i="85"/>
  <c r="A45" i="85"/>
  <c r="A44" i="85"/>
  <c r="A43" i="85"/>
  <c r="A42" i="85"/>
  <c r="A41" i="85"/>
  <c r="A40" i="85"/>
  <c r="A39" i="85"/>
  <c r="A38" i="85"/>
  <c r="A37" i="85"/>
  <c r="A36" i="85"/>
  <c r="A35" i="85"/>
  <c r="A34" i="85"/>
  <c r="A33" i="85"/>
  <c r="A32" i="85"/>
  <c r="A31" i="85"/>
  <c r="A30" i="85"/>
  <c r="A26" i="85"/>
  <c r="A25" i="85"/>
  <c r="A24" i="85"/>
  <c r="A23" i="85"/>
  <c r="A22" i="85"/>
  <c r="A21" i="85"/>
  <c r="A20" i="85"/>
  <c r="A19" i="85"/>
  <c r="A18" i="85"/>
  <c r="A17" i="85"/>
  <c r="A16" i="85"/>
  <c r="A15" i="85"/>
  <c r="A14" i="85"/>
  <c r="A13" i="85"/>
  <c r="A12" i="85"/>
  <c r="A11" i="85"/>
  <c r="A10" i="85"/>
  <c r="A6" i="85"/>
  <c r="A5" i="85"/>
  <c r="A4" i="85"/>
  <c r="A3" i="85"/>
  <c r="A65" i="84"/>
  <c r="A64" i="84"/>
  <c r="A63" i="84"/>
  <c r="A62" i="84"/>
  <c r="A61" i="84"/>
  <c r="A60" i="84"/>
  <c r="A59" i="84"/>
  <c r="A58" i="84"/>
  <c r="A57" i="84"/>
  <c r="A56" i="84"/>
  <c r="A52" i="84"/>
  <c r="A51" i="84"/>
  <c r="A50" i="84"/>
  <c r="A49" i="84"/>
  <c r="A48" i="84"/>
  <c r="A47" i="84"/>
  <c r="A46" i="84"/>
  <c r="A45" i="84"/>
  <c r="A44" i="84"/>
  <c r="A43" i="84"/>
  <c r="A42" i="84"/>
  <c r="A41" i="84"/>
  <c r="A40" i="84"/>
  <c r="A39" i="84"/>
  <c r="A38" i="84"/>
  <c r="A37" i="84"/>
  <c r="A36" i="84"/>
  <c r="A35" i="84"/>
  <c r="A34" i="84"/>
  <c r="A33" i="84"/>
  <c r="A32" i="84"/>
  <c r="A31" i="84"/>
  <c r="A30" i="84"/>
  <c r="A26" i="84"/>
  <c r="A25" i="84"/>
  <c r="A24" i="84"/>
  <c r="A23" i="84"/>
  <c r="A22" i="84"/>
  <c r="A21" i="84"/>
  <c r="A20" i="84"/>
  <c r="A19" i="84"/>
  <c r="A18" i="84"/>
  <c r="A17" i="84"/>
  <c r="A16" i="84"/>
  <c r="A15" i="84"/>
  <c r="A14" i="84"/>
  <c r="A13" i="84"/>
  <c r="A12" i="84"/>
  <c r="A11" i="84"/>
  <c r="A10" i="84"/>
  <c r="A6" i="84"/>
  <c r="A5" i="84"/>
  <c r="A4" i="84"/>
  <c r="A3" i="84"/>
  <c r="A65" i="83"/>
  <c r="A64" i="83"/>
  <c r="A63" i="83"/>
  <c r="A62" i="83"/>
  <c r="A61" i="83"/>
  <c r="A60" i="83"/>
  <c r="A59" i="83"/>
  <c r="A58" i="83"/>
  <c r="A57" i="83"/>
  <c r="A56" i="83"/>
  <c r="A52" i="83"/>
  <c r="A51" i="83"/>
  <c r="A50" i="83"/>
  <c r="A49" i="83"/>
  <c r="A48" i="83"/>
  <c r="A47" i="83"/>
  <c r="A46" i="83"/>
  <c r="A45" i="83"/>
  <c r="A44" i="83"/>
  <c r="A43" i="83"/>
  <c r="A42" i="83"/>
  <c r="A41" i="83"/>
  <c r="A40" i="83"/>
  <c r="A39" i="83"/>
  <c r="A38" i="83"/>
  <c r="A37" i="83"/>
  <c r="A36" i="83"/>
  <c r="A35" i="83"/>
  <c r="A34" i="83"/>
  <c r="A33" i="83"/>
  <c r="A32" i="83"/>
  <c r="A31" i="83"/>
  <c r="A30" i="83"/>
  <c r="A26" i="83"/>
  <c r="A25" i="83"/>
  <c r="A24" i="83"/>
  <c r="A23" i="83"/>
  <c r="A22" i="83"/>
  <c r="A21" i="83"/>
  <c r="A20" i="83"/>
  <c r="A19" i="83"/>
  <c r="A18" i="83"/>
  <c r="A17" i="83"/>
  <c r="A16" i="83"/>
  <c r="A15" i="83"/>
  <c r="A14" i="83"/>
  <c r="A13" i="83"/>
  <c r="A12" i="83"/>
  <c r="A11" i="83"/>
  <c r="A10" i="83"/>
  <c r="A6" i="83"/>
  <c r="A5" i="83"/>
  <c r="A4" i="83"/>
  <c r="A3" i="83"/>
  <c r="A65" i="92"/>
  <c r="A64" i="92"/>
  <c r="A63" i="92"/>
  <c r="A62" i="92"/>
  <c r="A61" i="92"/>
  <c r="A60" i="92"/>
  <c r="A59" i="92"/>
  <c r="A58" i="92"/>
  <c r="A57" i="92"/>
  <c r="A56" i="92"/>
  <c r="A52" i="92"/>
  <c r="A51" i="92"/>
  <c r="A50" i="92"/>
  <c r="A49" i="92"/>
  <c r="A48" i="92"/>
  <c r="A47" i="92"/>
  <c r="A46" i="92"/>
  <c r="A45" i="92"/>
  <c r="A44" i="92"/>
  <c r="A43" i="92"/>
  <c r="A42" i="92"/>
  <c r="A41" i="92"/>
  <c r="A40" i="92"/>
  <c r="A39" i="92"/>
  <c r="A38" i="92"/>
  <c r="A37" i="92"/>
  <c r="A36" i="92"/>
  <c r="A35" i="92"/>
  <c r="A34" i="92"/>
  <c r="A33" i="92"/>
  <c r="A32" i="92"/>
  <c r="A31" i="92"/>
  <c r="A30" i="92"/>
  <c r="A26" i="92"/>
  <c r="A25" i="92"/>
  <c r="A24" i="92"/>
  <c r="A23" i="92"/>
  <c r="A22" i="92"/>
  <c r="A21" i="92"/>
  <c r="A20" i="92"/>
  <c r="A19" i="92"/>
  <c r="A18" i="92"/>
  <c r="A17" i="92"/>
  <c r="A16" i="92"/>
  <c r="A15" i="92"/>
  <c r="A14" i="92"/>
  <c r="A13" i="92"/>
  <c r="A12" i="92"/>
  <c r="A11" i="92"/>
  <c r="A10" i="92"/>
  <c r="A6" i="92"/>
  <c r="A5" i="92"/>
  <c r="A4" i="92"/>
  <c r="A3" i="92"/>
  <c r="A65" i="120"/>
  <c r="A64" i="120"/>
  <c r="A63" i="120"/>
  <c r="A62" i="120"/>
  <c r="A61" i="120"/>
  <c r="A60" i="120"/>
  <c r="A59" i="120"/>
  <c r="A58" i="120"/>
  <c r="A57" i="120"/>
  <c r="A56" i="120"/>
  <c r="A52" i="120"/>
  <c r="A51" i="120"/>
  <c r="A50" i="120"/>
  <c r="A49" i="120"/>
  <c r="A48" i="120"/>
  <c r="A47" i="120"/>
  <c r="A46" i="120"/>
  <c r="A45" i="120"/>
  <c r="A44" i="120"/>
  <c r="A43" i="120"/>
  <c r="A42" i="120"/>
  <c r="A41" i="120"/>
  <c r="A40" i="120"/>
  <c r="A39" i="120"/>
  <c r="A38" i="120"/>
  <c r="A37" i="120"/>
  <c r="A36" i="120"/>
  <c r="A35" i="120"/>
  <c r="A34" i="120"/>
  <c r="A33" i="120"/>
  <c r="A32" i="120"/>
  <c r="A31" i="120"/>
  <c r="A30" i="120"/>
  <c r="A26" i="120"/>
  <c r="A25" i="120"/>
  <c r="A24" i="120"/>
  <c r="A23" i="120"/>
  <c r="A22" i="120"/>
  <c r="A21" i="120"/>
  <c r="A20" i="120"/>
  <c r="A19" i="120"/>
  <c r="A18" i="120"/>
  <c r="A17" i="120"/>
  <c r="A16" i="120"/>
  <c r="A15" i="120"/>
  <c r="A14" i="120"/>
  <c r="A13" i="120"/>
  <c r="A12" i="120"/>
  <c r="A11" i="120"/>
  <c r="A10" i="120"/>
  <c r="A6" i="120"/>
  <c r="A5" i="120"/>
  <c r="A4" i="120"/>
  <c r="A3" i="120"/>
  <c r="A65" i="108"/>
  <c r="A64" i="108"/>
  <c r="A63" i="108"/>
  <c r="A62" i="108"/>
  <c r="A61" i="108"/>
  <c r="A60" i="108"/>
  <c r="A59" i="108"/>
  <c r="A58" i="108"/>
  <c r="A57" i="108"/>
  <c r="A56" i="108"/>
  <c r="A52" i="108"/>
  <c r="A51" i="108"/>
  <c r="A50" i="108"/>
  <c r="A49" i="108"/>
  <c r="A48" i="108"/>
  <c r="A47" i="108"/>
  <c r="A46" i="108"/>
  <c r="A45" i="108"/>
  <c r="A44" i="108"/>
  <c r="A43" i="108"/>
  <c r="A42" i="108"/>
  <c r="A41" i="108"/>
  <c r="A40" i="108"/>
  <c r="A39" i="108"/>
  <c r="A38" i="108"/>
  <c r="A37" i="108"/>
  <c r="A36" i="108"/>
  <c r="A35" i="108"/>
  <c r="A34" i="108"/>
  <c r="A33" i="108"/>
  <c r="A32" i="108"/>
  <c r="A31" i="108"/>
  <c r="A30" i="108"/>
  <c r="A26" i="108"/>
  <c r="A25" i="108"/>
  <c r="A24" i="108"/>
  <c r="A23" i="108"/>
  <c r="A22" i="108"/>
  <c r="A21" i="108"/>
  <c r="A20" i="108"/>
  <c r="A19" i="108"/>
  <c r="A18" i="108"/>
  <c r="A17" i="108"/>
  <c r="A16" i="108"/>
  <c r="A15" i="108"/>
  <c r="A14" i="108"/>
  <c r="A13" i="108"/>
  <c r="A12" i="108"/>
  <c r="A11" i="108"/>
  <c r="A10" i="108"/>
  <c r="A6" i="108"/>
  <c r="A5" i="108"/>
  <c r="A4" i="108"/>
  <c r="A3" i="108"/>
  <c r="A65" i="119"/>
  <c r="A64" i="119"/>
  <c r="A63" i="119"/>
  <c r="A62" i="119"/>
  <c r="A61" i="119"/>
  <c r="A60" i="119"/>
  <c r="A59" i="119"/>
  <c r="A58" i="119"/>
  <c r="A57" i="119"/>
  <c r="A56" i="119"/>
  <c r="A52" i="119"/>
  <c r="A51" i="119"/>
  <c r="A50" i="119"/>
  <c r="A49" i="119"/>
  <c r="A48" i="119"/>
  <c r="A47" i="119"/>
  <c r="A46" i="119"/>
  <c r="A45" i="119"/>
  <c r="A44" i="119"/>
  <c r="A43" i="119"/>
  <c r="A42" i="119"/>
  <c r="A41" i="119"/>
  <c r="A40" i="119"/>
  <c r="A39" i="119"/>
  <c r="A38" i="119"/>
  <c r="A37" i="119"/>
  <c r="A36" i="119"/>
  <c r="A35" i="119"/>
  <c r="A34" i="119"/>
  <c r="A33" i="119"/>
  <c r="A32" i="119"/>
  <c r="A31" i="119"/>
  <c r="A30" i="119"/>
  <c r="A26" i="119"/>
  <c r="A25" i="119"/>
  <c r="A24" i="119"/>
  <c r="A23" i="119"/>
  <c r="A22" i="119"/>
  <c r="A21" i="119"/>
  <c r="A20" i="119"/>
  <c r="A19" i="119"/>
  <c r="A18" i="119"/>
  <c r="A17" i="119"/>
  <c r="A16" i="119"/>
  <c r="A15" i="119"/>
  <c r="A14" i="119"/>
  <c r="A13" i="119"/>
  <c r="A12" i="119"/>
  <c r="A11" i="119"/>
  <c r="A10" i="119"/>
  <c r="A6" i="119"/>
  <c r="A5" i="119"/>
  <c r="A4" i="119"/>
  <c r="A3" i="119"/>
  <c r="A65" i="118"/>
  <c r="A64" i="118"/>
  <c r="A63" i="118"/>
  <c r="A62" i="118"/>
  <c r="A61" i="118"/>
  <c r="A60" i="118"/>
  <c r="A59" i="118"/>
  <c r="A58" i="118"/>
  <c r="A57" i="118"/>
  <c r="A56" i="118"/>
  <c r="A52" i="118"/>
  <c r="A51" i="118"/>
  <c r="A50" i="118"/>
  <c r="A49" i="118"/>
  <c r="A48" i="118"/>
  <c r="A47" i="118"/>
  <c r="A46" i="118"/>
  <c r="A45" i="118"/>
  <c r="A44" i="118"/>
  <c r="A43" i="118"/>
  <c r="A42" i="118"/>
  <c r="A41" i="118"/>
  <c r="A40" i="118"/>
  <c r="A39" i="118"/>
  <c r="A38" i="118"/>
  <c r="A37" i="118"/>
  <c r="A36" i="118"/>
  <c r="A35" i="118"/>
  <c r="A34" i="118"/>
  <c r="A33" i="118"/>
  <c r="A32" i="118"/>
  <c r="A31" i="118"/>
  <c r="A30" i="118"/>
  <c r="A26" i="118"/>
  <c r="A25" i="118"/>
  <c r="A24" i="118"/>
  <c r="A23" i="118"/>
  <c r="A22" i="118"/>
  <c r="A21" i="118"/>
  <c r="A20" i="118"/>
  <c r="A19" i="118"/>
  <c r="A18" i="118"/>
  <c r="A17" i="118"/>
  <c r="A16" i="118"/>
  <c r="A15" i="118"/>
  <c r="A14" i="118"/>
  <c r="A13" i="118"/>
  <c r="A12" i="118"/>
  <c r="A11" i="118"/>
  <c r="A10" i="118"/>
  <c r="A6" i="118"/>
  <c r="A5" i="118"/>
  <c r="A4" i="118"/>
  <c r="A3" i="118"/>
  <c r="A65" i="117"/>
  <c r="A64" i="117"/>
  <c r="A63" i="117"/>
  <c r="A62" i="117"/>
  <c r="A61" i="117"/>
  <c r="A60" i="117"/>
  <c r="A59" i="117"/>
  <c r="A58" i="117"/>
  <c r="A57" i="117"/>
  <c r="A56" i="117"/>
  <c r="A52" i="117"/>
  <c r="A51" i="117"/>
  <c r="A50" i="117"/>
  <c r="A49" i="117"/>
  <c r="A48" i="117"/>
  <c r="A47" i="117"/>
  <c r="A46" i="117"/>
  <c r="A45" i="117"/>
  <c r="A44" i="117"/>
  <c r="A43" i="117"/>
  <c r="A42" i="117"/>
  <c r="A41" i="117"/>
  <c r="A40" i="117"/>
  <c r="A39" i="117"/>
  <c r="A38" i="117"/>
  <c r="A37" i="117"/>
  <c r="A36" i="117"/>
  <c r="A35" i="117"/>
  <c r="A34" i="117"/>
  <c r="A33" i="117"/>
  <c r="A32" i="117"/>
  <c r="A31" i="117"/>
  <c r="A30" i="117"/>
  <c r="A26" i="117"/>
  <c r="A25" i="117"/>
  <c r="A24" i="117"/>
  <c r="A23" i="117"/>
  <c r="A22" i="117"/>
  <c r="A21" i="117"/>
  <c r="A20" i="117"/>
  <c r="A19" i="117"/>
  <c r="A18" i="117"/>
  <c r="A17" i="117"/>
  <c r="A16" i="117"/>
  <c r="A15" i="117"/>
  <c r="A14" i="117"/>
  <c r="A13" i="117"/>
  <c r="A12" i="117"/>
  <c r="A11" i="117"/>
  <c r="A10" i="117"/>
  <c r="A6" i="117"/>
  <c r="A5" i="117"/>
  <c r="A4" i="117"/>
  <c r="A3" i="117"/>
  <c r="A65" i="116"/>
  <c r="A64" i="116"/>
  <c r="A63" i="116"/>
  <c r="A62" i="116"/>
  <c r="A61" i="116"/>
  <c r="A60" i="116"/>
  <c r="A59" i="116"/>
  <c r="A58" i="116"/>
  <c r="A57" i="116"/>
  <c r="A56" i="116"/>
  <c r="A52" i="116"/>
  <c r="A51" i="116"/>
  <c r="A50" i="116"/>
  <c r="A49" i="116"/>
  <c r="A48" i="116"/>
  <c r="A47" i="116"/>
  <c r="A46" i="116"/>
  <c r="A45" i="116"/>
  <c r="A44" i="116"/>
  <c r="A43" i="116"/>
  <c r="A42" i="116"/>
  <c r="A41" i="116"/>
  <c r="A40" i="116"/>
  <c r="A39" i="116"/>
  <c r="A38" i="116"/>
  <c r="A37" i="116"/>
  <c r="A36" i="116"/>
  <c r="A35" i="116"/>
  <c r="A34" i="116"/>
  <c r="A33" i="116"/>
  <c r="A32" i="116"/>
  <c r="A31" i="116"/>
  <c r="A30" i="116"/>
  <c r="A26" i="116"/>
  <c r="A25" i="116"/>
  <c r="A24" i="116"/>
  <c r="A23" i="116"/>
  <c r="A22" i="116"/>
  <c r="A21" i="116"/>
  <c r="A20" i="116"/>
  <c r="A19" i="116"/>
  <c r="A18" i="116"/>
  <c r="A17" i="116"/>
  <c r="A16" i="116"/>
  <c r="A15" i="116"/>
  <c r="A14" i="116"/>
  <c r="A13" i="116"/>
  <c r="A12" i="116"/>
  <c r="A11" i="116"/>
  <c r="A10" i="116"/>
  <c r="A6" i="116"/>
  <c r="A5" i="116"/>
  <c r="A4" i="116"/>
  <c r="A3" i="116"/>
  <c r="A65" i="101"/>
  <c r="A64" i="101"/>
  <c r="A63" i="101"/>
  <c r="A62" i="101"/>
  <c r="A61" i="101"/>
  <c r="A60" i="101"/>
  <c r="A59" i="101"/>
  <c r="A58" i="101"/>
  <c r="A57" i="101"/>
  <c r="A56" i="101"/>
  <c r="A52" i="101"/>
  <c r="A51" i="101"/>
  <c r="A50" i="101"/>
  <c r="A49" i="101"/>
  <c r="A48" i="101"/>
  <c r="A47" i="101"/>
  <c r="A46" i="101"/>
  <c r="A45" i="101"/>
  <c r="A44" i="101"/>
  <c r="A43" i="101"/>
  <c r="A42" i="101"/>
  <c r="A41" i="101"/>
  <c r="A40" i="101"/>
  <c r="A39" i="101"/>
  <c r="A38" i="101"/>
  <c r="A37" i="101"/>
  <c r="A36" i="101"/>
  <c r="A35" i="101"/>
  <c r="A34" i="101"/>
  <c r="A33" i="101"/>
  <c r="A32" i="101"/>
  <c r="A31" i="101"/>
  <c r="A30" i="101"/>
  <c r="A26" i="101"/>
  <c r="A25" i="101"/>
  <c r="A24" i="101"/>
  <c r="A23" i="101"/>
  <c r="A22" i="101"/>
  <c r="A21" i="101"/>
  <c r="A20" i="101"/>
  <c r="A19" i="101"/>
  <c r="A18" i="101"/>
  <c r="A17" i="101"/>
  <c r="A16" i="101"/>
  <c r="A15" i="101"/>
  <c r="A14" i="101"/>
  <c r="A13" i="101"/>
  <c r="A12" i="101"/>
  <c r="A11" i="101"/>
  <c r="A10" i="101"/>
  <c r="A6" i="101"/>
  <c r="A5" i="101"/>
  <c r="A4" i="101"/>
  <c r="A3" i="101"/>
  <c r="A65" i="104"/>
  <c r="A64" i="104"/>
  <c r="A63" i="104"/>
  <c r="A62" i="104"/>
  <c r="A61" i="104"/>
  <c r="A60" i="104"/>
  <c r="A59" i="104"/>
  <c r="A58" i="104"/>
  <c r="A57" i="104"/>
  <c r="A56"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6" i="104"/>
  <c r="A25" i="104"/>
  <c r="A24" i="104"/>
  <c r="A23" i="104"/>
  <c r="A22" i="104"/>
  <c r="A21" i="104"/>
  <c r="A20" i="104"/>
  <c r="A19" i="104"/>
  <c r="A18" i="104"/>
  <c r="A17" i="104"/>
  <c r="A16" i="104"/>
  <c r="A15" i="104"/>
  <c r="A14" i="104"/>
  <c r="A13" i="104"/>
  <c r="A12" i="104"/>
  <c r="A11" i="104"/>
  <c r="A10" i="104"/>
  <c r="A6" i="104"/>
  <c r="A5" i="104"/>
  <c r="A4" i="104"/>
  <c r="A3" i="104"/>
  <c r="A65" i="93"/>
  <c r="A64" i="93"/>
  <c r="A63" i="93"/>
  <c r="A62" i="93"/>
  <c r="A61" i="93"/>
  <c r="A60" i="93"/>
  <c r="A59" i="93"/>
  <c r="A58" i="93"/>
  <c r="A57" i="93"/>
  <c r="A56" i="93"/>
  <c r="A52" i="93"/>
  <c r="A51" i="93"/>
  <c r="A50" i="93"/>
  <c r="A49" i="93"/>
  <c r="A48" i="93"/>
  <c r="A47" i="93"/>
  <c r="A46" i="93"/>
  <c r="A45" i="93"/>
  <c r="A44" i="93"/>
  <c r="A43" i="93"/>
  <c r="A42" i="93"/>
  <c r="A41" i="93"/>
  <c r="A40" i="93"/>
  <c r="A39" i="93"/>
  <c r="A38" i="93"/>
  <c r="A37" i="93"/>
  <c r="A36" i="93"/>
  <c r="A35" i="93"/>
  <c r="A34" i="93"/>
  <c r="A33" i="93"/>
  <c r="A32" i="93"/>
  <c r="A31" i="93"/>
  <c r="A30" i="93"/>
  <c r="A26" i="93"/>
  <c r="A25" i="93"/>
  <c r="A24" i="93"/>
  <c r="A23" i="93"/>
  <c r="A22" i="93"/>
  <c r="A21" i="93"/>
  <c r="A20" i="93"/>
  <c r="A19" i="93"/>
  <c r="A18" i="93"/>
  <c r="A17" i="93"/>
  <c r="A16" i="93"/>
  <c r="A15" i="93"/>
  <c r="A14" i="93"/>
  <c r="A13" i="93"/>
  <c r="A12" i="93"/>
  <c r="A11" i="93"/>
  <c r="A10" i="93"/>
  <c r="A6" i="93"/>
  <c r="A5" i="93"/>
  <c r="A4" i="93"/>
  <c r="A3" i="93"/>
  <c r="A65" i="76"/>
  <c r="A64" i="76"/>
  <c r="A63" i="76"/>
  <c r="A62" i="76"/>
  <c r="A61" i="76"/>
  <c r="A60" i="76"/>
  <c r="A59" i="76"/>
  <c r="A58" i="76"/>
  <c r="A57" i="76"/>
  <c r="A56" i="76"/>
  <c r="A52" i="76"/>
  <c r="A51" i="76"/>
  <c r="A50" i="76"/>
  <c r="A49" i="76"/>
  <c r="A48" i="76"/>
  <c r="A47" i="76"/>
  <c r="A46" i="76"/>
  <c r="A45" i="76"/>
  <c r="A44" i="76"/>
  <c r="A43" i="76"/>
  <c r="A42" i="76"/>
  <c r="A41" i="76"/>
  <c r="A40" i="76"/>
  <c r="A39" i="76"/>
  <c r="A38" i="76"/>
  <c r="A37" i="76"/>
  <c r="A36" i="76"/>
  <c r="A35" i="76"/>
  <c r="A34" i="76"/>
  <c r="A33" i="76"/>
  <c r="A32" i="76"/>
  <c r="A31" i="76"/>
  <c r="A30" i="76"/>
  <c r="A26" i="76"/>
  <c r="A25" i="76"/>
  <c r="A24" i="76"/>
  <c r="A23" i="76"/>
  <c r="A22" i="76"/>
  <c r="A21" i="76"/>
  <c r="A20" i="76"/>
  <c r="A19" i="76"/>
  <c r="A18" i="76"/>
  <c r="A17" i="76"/>
  <c r="A16" i="76"/>
  <c r="A15" i="76"/>
  <c r="A14" i="76"/>
  <c r="A13" i="76"/>
  <c r="A12" i="76"/>
  <c r="A11" i="76"/>
  <c r="A10" i="76"/>
  <c r="A6" i="76"/>
  <c r="A5" i="76"/>
  <c r="A4" i="76"/>
  <c r="A3" i="76"/>
  <c r="A65" i="111"/>
  <c r="A64" i="111"/>
  <c r="A63" i="111"/>
  <c r="A62" i="111"/>
  <c r="A61" i="111"/>
  <c r="A60" i="111"/>
  <c r="A59" i="111"/>
  <c r="A58" i="111"/>
  <c r="A57" i="111"/>
  <c r="A56" i="111"/>
  <c r="A52" i="111"/>
  <c r="A51" i="111"/>
  <c r="A50" i="111"/>
  <c r="A49" i="111"/>
  <c r="A48" i="111"/>
  <c r="A47" i="111"/>
  <c r="A46" i="111"/>
  <c r="A45" i="111"/>
  <c r="A44" i="111"/>
  <c r="A43" i="111"/>
  <c r="A42" i="111"/>
  <c r="A41" i="111"/>
  <c r="A40" i="111"/>
  <c r="A39" i="111"/>
  <c r="A38" i="111"/>
  <c r="A37" i="111"/>
  <c r="A36" i="111"/>
  <c r="A35" i="111"/>
  <c r="A34" i="111"/>
  <c r="A33" i="111"/>
  <c r="A32" i="111"/>
  <c r="A31" i="111"/>
  <c r="A30" i="111"/>
  <c r="A26" i="111"/>
  <c r="A25" i="111"/>
  <c r="A24" i="111"/>
  <c r="A23" i="111"/>
  <c r="A22" i="111"/>
  <c r="A21" i="111"/>
  <c r="A20" i="111"/>
  <c r="A19" i="111"/>
  <c r="A18" i="111"/>
  <c r="A17" i="111"/>
  <c r="A16" i="111"/>
  <c r="A15" i="111"/>
  <c r="A14" i="111"/>
  <c r="A13" i="111"/>
  <c r="A12" i="111"/>
  <c r="A11" i="111"/>
  <c r="A10" i="111"/>
  <c r="A6" i="111"/>
  <c r="A5" i="111"/>
  <c r="A4" i="111"/>
  <c r="A3" i="111"/>
  <c r="A65" i="115"/>
  <c r="A64" i="115"/>
  <c r="A63" i="115"/>
  <c r="A62" i="115"/>
  <c r="A61" i="115"/>
  <c r="A60" i="115"/>
  <c r="A59" i="115"/>
  <c r="A58" i="115"/>
  <c r="A57" i="115"/>
  <c r="A56" i="115"/>
  <c r="A52" i="115"/>
  <c r="A51" i="115"/>
  <c r="A50" i="115"/>
  <c r="A49" i="115"/>
  <c r="A48" i="115"/>
  <c r="A47" i="115"/>
  <c r="A46" i="115"/>
  <c r="A45" i="115"/>
  <c r="A44" i="115"/>
  <c r="A43" i="115"/>
  <c r="A42" i="115"/>
  <c r="A41" i="115"/>
  <c r="A40" i="115"/>
  <c r="A39" i="115"/>
  <c r="A38" i="115"/>
  <c r="A37" i="115"/>
  <c r="A36" i="115"/>
  <c r="A35" i="115"/>
  <c r="A34" i="115"/>
  <c r="A33" i="115"/>
  <c r="A32" i="115"/>
  <c r="A31" i="115"/>
  <c r="A30" i="115"/>
  <c r="A26" i="115"/>
  <c r="A25" i="115"/>
  <c r="A24" i="115"/>
  <c r="A23" i="115"/>
  <c r="A22" i="115"/>
  <c r="A21" i="115"/>
  <c r="A20" i="115"/>
  <c r="A19" i="115"/>
  <c r="A18" i="115"/>
  <c r="A17" i="115"/>
  <c r="A16" i="115"/>
  <c r="A15" i="115"/>
  <c r="A14" i="115"/>
  <c r="A13" i="115"/>
  <c r="A12" i="115"/>
  <c r="A11" i="115"/>
  <c r="A10" i="115"/>
  <c r="A6" i="115"/>
  <c r="A5" i="115"/>
  <c r="A4" i="115"/>
  <c r="A3" i="115"/>
  <c r="A65" i="77"/>
  <c r="A64" i="77"/>
  <c r="A63" i="77"/>
  <c r="A62" i="77"/>
  <c r="A61" i="77"/>
  <c r="A60" i="77"/>
  <c r="A59" i="77"/>
  <c r="A58" i="77"/>
  <c r="A57" i="77"/>
  <c r="A56" i="77"/>
  <c r="A52" i="77"/>
  <c r="A51" i="77"/>
  <c r="A50" i="77"/>
  <c r="A49" i="77"/>
  <c r="A48" i="77"/>
  <c r="A47" i="77"/>
  <c r="A46" i="77"/>
  <c r="A45" i="77"/>
  <c r="A44" i="77"/>
  <c r="A43" i="77"/>
  <c r="A42" i="77"/>
  <c r="A41" i="77"/>
  <c r="A40" i="77"/>
  <c r="A39" i="77"/>
  <c r="A38" i="77"/>
  <c r="A37" i="77"/>
  <c r="A36" i="77"/>
  <c r="A35" i="77"/>
  <c r="A34" i="77"/>
  <c r="A33" i="77"/>
  <c r="A32" i="77"/>
  <c r="A31" i="77"/>
  <c r="A30" i="77"/>
  <c r="A26" i="77"/>
  <c r="A25" i="77"/>
  <c r="A24" i="77"/>
  <c r="A23" i="77"/>
  <c r="A22" i="77"/>
  <c r="A21" i="77"/>
  <c r="A20" i="77"/>
  <c r="A19" i="77"/>
  <c r="A18" i="77"/>
  <c r="A17" i="77"/>
  <c r="A16" i="77"/>
  <c r="A15" i="77"/>
  <c r="A14" i="77"/>
  <c r="A13" i="77"/>
  <c r="A12" i="77"/>
  <c r="A11" i="77"/>
  <c r="A10" i="77"/>
  <c r="A6" i="77"/>
  <c r="A5" i="77"/>
  <c r="A4" i="77"/>
  <c r="A3" i="77"/>
  <c r="A65" i="82"/>
  <c r="A64" i="82"/>
  <c r="A63" i="82"/>
  <c r="A62" i="82"/>
  <c r="A61" i="82"/>
  <c r="A60" i="82"/>
  <c r="A59" i="82"/>
  <c r="A58" i="82"/>
  <c r="A57" i="82"/>
  <c r="A56" i="82"/>
  <c r="A52" i="82"/>
  <c r="A51" i="82"/>
  <c r="A50" i="82"/>
  <c r="A49" i="82"/>
  <c r="A48" i="82"/>
  <c r="A47" i="82"/>
  <c r="A46" i="82"/>
  <c r="A45" i="82"/>
  <c r="A44" i="82"/>
  <c r="A43" i="82"/>
  <c r="A42" i="82"/>
  <c r="A41" i="82"/>
  <c r="A40" i="82"/>
  <c r="A39" i="82"/>
  <c r="A38" i="82"/>
  <c r="A37" i="82"/>
  <c r="A36" i="82"/>
  <c r="A35" i="82"/>
  <c r="A34" i="82"/>
  <c r="A33" i="82"/>
  <c r="A32" i="82"/>
  <c r="A31" i="82"/>
  <c r="A30" i="82"/>
  <c r="A26" i="82"/>
  <c r="A25" i="82"/>
  <c r="A24" i="82"/>
  <c r="A23" i="82"/>
  <c r="A22" i="82"/>
  <c r="A21" i="82"/>
  <c r="A20" i="82"/>
  <c r="A19" i="82"/>
  <c r="A18" i="82"/>
  <c r="A17" i="82"/>
  <c r="A16" i="82"/>
  <c r="A15" i="82"/>
  <c r="A14" i="82"/>
  <c r="A13" i="82"/>
  <c r="A12" i="82"/>
  <c r="A11" i="82"/>
  <c r="A10" i="82"/>
  <c r="A6" i="82"/>
  <c r="A5" i="82"/>
  <c r="A4" i="82"/>
  <c r="A3" i="82"/>
  <c r="A65" i="75"/>
  <c r="A64" i="75"/>
  <c r="A63" i="75"/>
  <c r="A62" i="75"/>
  <c r="A61" i="75"/>
  <c r="A60" i="75"/>
  <c r="A59" i="75"/>
  <c r="A58" i="75"/>
  <c r="A57" i="75"/>
  <c r="A56" i="75"/>
  <c r="A52" i="75"/>
  <c r="A51" i="75"/>
  <c r="A50" i="75"/>
  <c r="A49" i="75"/>
  <c r="A48" i="75"/>
  <c r="A47" i="75"/>
  <c r="A46" i="75"/>
  <c r="A45" i="75"/>
  <c r="A44" i="75"/>
  <c r="A43" i="75"/>
  <c r="A42" i="75"/>
  <c r="A41" i="75"/>
  <c r="A40" i="75"/>
  <c r="A39" i="75"/>
  <c r="A38" i="75"/>
  <c r="A37" i="75"/>
  <c r="A36" i="75"/>
  <c r="A35" i="75"/>
  <c r="A34" i="75"/>
  <c r="A33" i="75"/>
  <c r="A32" i="75"/>
  <c r="A31" i="75"/>
  <c r="A30" i="75"/>
  <c r="A26" i="75"/>
  <c r="A25" i="75"/>
  <c r="A24" i="75"/>
  <c r="A23" i="75"/>
  <c r="A22" i="75"/>
  <c r="A21" i="75"/>
  <c r="A20" i="75"/>
  <c r="A19" i="75"/>
  <c r="A18" i="75"/>
  <c r="A17" i="75"/>
  <c r="A16" i="75"/>
  <c r="A15" i="75"/>
  <c r="A14" i="75"/>
  <c r="A13" i="75"/>
  <c r="A12" i="75"/>
  <c r="A11" i="75"/>
  <c r="A10" i="75"/>
  <c r="A6" i="75"/>
  <c r="A5" i="75"/>
  <c r="A4" i="75"/>
  <c r="A3" i="75"/>
  <c r="A65" i="72"/>
  <c r="A64" i="72"/>
  <c r="A63" i="72"/>
  <c r="A62" i="72"/>
  <c r="A61" i="72"/>
  <c r="A60" i="72"/>
  <c r="A59" i="72"/>
  <c r="A58" i="72"/>
  <c r="A57" i="72"/>
  <c r="A56" i="72"/>
  <c r="A52" i="72"/>
  <c r="A51" i="72"/>
  <c r="A50" i="72"/>
  <c r="A49" i="72"/>
  <c r="A48" i="72"/>
  <c r="A47" i="72"/>
  <c r="A46" i="72"/>
  <c r="A45" i="72"/>
  <c r="A44" i="72"/>
  <c r="A43" i="72"/>
  <c r="A42" i="72"/>
  <c r="A41" i="72"/>
  <c r="A40" i="72"/>
  <c r="A39" i="72"/>
  <c r="A38" i="72"/>
  <c r="A37" i="72"/>
  <c r="A36" i="72"/>
  <c r="A35" i="72"/>
  <c r="A34" i="72"/>
  <c r="A33" i="72"/>
  <c r="A32" i="72"/>
  <c r="A31" i="72"/>
  <c r="A30" i="72"/>
  <c r="A26" i="72"/>
  <c r="A25" i="72"/>
  <c r="A24" i="72"/>
  <c r="A23" i="72"/>
  <c r="A22" i="72"/>
  <c r="A21" i="72"/>
  <c r="A20" i="72"/>
  <c r="A19" i="72"/>
  <c r="A18" i="72"/>
  <c r="A17" i="72"/>
  <c r="A16" i="72"/>
  <c r="A15" i="72"/>
  <c r="A14" i="72"/>
  <c r="A13" i="72"/>
  <c r="A12" i="72"/>
  <c r="A11" i="72"/>
  <c r="A10" i="72"/>
  <c r="A6" i="72"/>
  <c r="A5" i="72"/>
  <c r="A4" i="72"/>
  <c r="A3" i="72"/>
  <c r="A65" i="80"/>
  <c r="A64" i="80"/>
  <c r="A63" i="80"/>
  <c r="A62" i="80"/>
  <c r="A61" i="80"/>
  <c r="A60" i="80"/>
  <c r="A59" i="80"/>
  <c r="A58" i="80"/>
  <c r="A57" i="80"/>
  <c r="A56" i="80"/>
  <c r="A52" i="80"/>
  <c r="A51" i="80"/>
  <c r="A50" i="80"/>
  <c r="A49" i="80"/>
  <c r="A48" i="80"/>
  <c r="A47" i="80"/>
  <c r="A46" i="80"/>
  <c r="A45" i="80"/>
  <c r="A44" i="80"/>
  <c r="A43" i="80"/>
  <c r="A42" i="80"/>
  <c r="A41" i="80"/>
  <c r="A40" i="80"/>
  <c r="A39" i="80"/>
  <c r="A38" i="80"/>
  <c r="A37" i="80"/>
  <c r="A36" i="80"/>
  <c r="A35" i="80"/>
  <c r="A34" i="80"/>
  <c r="A33" i="80"/>
  <c r="A32" i="80"/>
  <c r="A31" i="80"/>
  <c r="A30" i="80"/>
  <c r="A26" i="80"/>
  <c r="A25" i="80"/>
  <c r="A24" i="80"/>
  <c r="A23" i="80"/>
  <c r="A22" i="80"/>
  <c r="A21" i="80"/>
  <c r="A20" i="80"/>
  <c r="A19" i="80"/>
  <c r="A18" i="80"/>
  <c r="A17" i="80"/>
  <c r="A16" i="80"/>
  <c r="A15" i="80"/>
  <c r="A14" i="80"/>
  <c r="A13" i="80"/>
  <c r="A12" i="80"/>
  <c r="A11" i="80"/>
  <c r="A10" i="80"/>
  <c r="A6" i="80"/>
  <c r="A5" i="80"/>
  <c r="A4" i="80"/>
  <c r="A3" i="80"/>
  <c r="A65" i="13"/>
  <c r="A64" i="13"/>
  <c r="A63" i="13"/>
  <c r="A62" i="13"/>
  <c r="A61" i="13"/>
  <c r="A60" i="13"/>
  <c r="A59" i="13"/>
  <c r="A58" i="13"/>
  <c r="A57" i="13"/>
  <c r="A56" i="13"/>
  <c r="A52" i="13"/>
  <c r="A51" i="13"/>
  <c r="A50" i="13"/>
  <c r="A49" i="13"/>
  <c r="A48" i="13"/>
  <c r="A47" i="13"/>
  <c r="A46" i="13"/>
  <c r="A45" i="13"/>
  <c r="A44" i="13"/>
  <c r="A43" i="13"/>
  <c r="A42" i="13"/>
  <c r="A41" i="13"/>
  <c r="A40" i="13"/>
  <c r="A39" i="13"/>
  <c r="A38" i="13"/>
  <c r="A37" i="13"/>
  <c r="A36" i="13"/>
  <c r="A35" i="13"/>
  <c r="A34" i="13"/>
  <c r="A33" i="13"/>
  <c r="A32" i="13"/>
  <c r="A31" i="13"/>
  <c r="A30" i="13"/>
  <c r="A26" i="13"/>
  <c r="A25" i="13"/>
  <c r="A24" i="13"/>
  <c r="A23" i="13"/>
  <c r="A22" i="13"/>
  <c r="A21" i="13"/>
  <c r="A20" i="13"/>
  <c r="A19" i="13"/>
  <c r="A18" i="13"/>
  <c r="A17" i="13"/>
  <c r="A16" i="13"/>
  <c r="A15" i="13"/>
  <c r="A14" i="13"/>
  <c r="A13" i="13"/>
  <c r="A12" i="13"/>
  <c r="A11" i="13"/>
  <c r="A10" i="13"/>
  <c r="A6" i="13"/>
  <c r="A5" i="13"/>
  <c r="A4" i="13"/>
  <c r="A3" i="13"/>
  <c r="A65" i="71"/>
  <c r="A64" i="71"/>
  <c r="A63" i="71"/>
  <c r="A62" i="71"/>
  <c r="A61" i="71"/>
  <c r="A60" i="71"/>
  <c r="A59" i="71"/>
  <c r="A58" i="71"/>
  <c r="A57" i="71"/>
  <c r="A56" i="71"/>
  <c r="A52" i="71"/>
  <c r="A51" i="71"/>
  <c r="A50" i="71"/>
  <c r="A49" i="71"/>
  <c r="A48" i="71"/>
  <c r="A47" i="71"/>
  <c r="A46" i="71"/>
  <c r="A45" i="71"/>
  <c r="A44" i="71"/>
  <c r="A43" i="71"/>
  <c r="A42" i="71"/>
  <c r="A41" i="71"/>
  <c r="A40" i="71"/>
  <c r="A39" i="71"/>
  <c r="A38" i="71"/>
  <c r="A37" i="71"/>
  <c r="A36" i="71"/>
  <c r="A35" i="71"/>
  <c r="A34" i="71"/>
  <c r="A33" i="71"/>
  <c r="A32" i="71"/>
  <c r="A31" i="71"/>
  <c r="A30" i="71"/>
  <c r="A26" i="71"/>
  <c r="A25" i="71"/>
  <c r="A24" i="71"/>
  <c r="A23" i="71"/>
  <c r="A22" i="71"/>
  <c r="A21" i="71"/>
  <c r="A20" i="71"/>
  <c r="A19" i="71"/>
  <c r="A18" i="71"/>
  <c r="A17" i="71"/>
  <c r="A16" i="71"/>
  <c r="A15" i="71"/>
  <c r="A14" i="71"/>
  <c r="A13" i="71"/>
  <c r="A12" i="71"/>
  <c r="A11" i="71"/>
  <c r="A10" i="71"/>
  <c r="A6" i="71"/>
  <c r="A5" i="71"/>
  <c r="A4" i="71"/>
  <c r="A3" i="71"/>
  <c r="G198" i="123"/>
  <c r="H197" i="123"/>
  <c r="G197" i="123"/>
  <c r="H196" i="123"/>
  <c r="G196" i="123"/>
  <c r="H195" i="123"/>
  <c r="G195" i="123"/>
  <c r="H194" i="123"/>
  <c r="G194" i="123"/>
  <c r="G193" i="123"/>
  <c r="G192" i="123"/>
  <c r="G191" i="123"/>
  <c r="G190" i="123"/>
  <c r="G189" i="123"/>
  <c r="G188" i="123"/>
  <c r="G187" i="123"/>
  <c r="G186" i="123"/>
  <c r="G185" i="123"/>
  <c r="G184" i="123"/>
  <c r="G183" i="123"/>
  <c r="G182" i="123"/>
  <c r="G181" i="123"/>
  <c r="G180" i="123"/>
  <c r="G179" i="123"/>
  <c r="G178" i="123"/>
  <c r="I177" i="123"/>
  <c r="G177" i="123"/>
  <c r="I176" i="123"/>
  <c r="G176" i="123"/>
  <c r="I175" i="123"/>
  <c r="G175" i="123"/>
  <c r="I174" i="123"/>
  <c r="G174" i="123"/>
  <c r="E11" i="91"/>
  <c r="D11" i="91"/>
  <c r="E10" i="91"/>
  <c r="D10" i="91"/>
  <c r="E9" i="91"/>
  <c r="D9" i="91"/>
  <c r="E8" i="91"/>
  <c r="D8" i="91"/>
  <c r="J88" i="122"/>
  <c r="I50" i="122"/>
  <c r="J15" i="122"/>
  <c r="F642" i="121" a="1"/>
  <c r="F642" i="121" s="1"/>
  <c r="E642" i="121" a="1"/>
  <c r="E642" i="121" s="1"/>
  <c r="D642" i="121" a="1"/>
  <c r="D642" i="121" s="1"/>
  <c r="F624" i="121" a="1"/>
  <c r="F624" i="121" s="1"/>
  <c r="E624" i="121" a="1"/>
  <c r="E624" i="121" s="1"/>
  <c r="D624" i="121" a="1"/>
  <c r="D624" i="121" s="1"/>
  <c r="O591" i="121"/>
  <c r="G591" i="121"/>
  <c r="I567" i="121" a="1"/>
  <c r="I567" i="121" s="1"/>
  <c r="F505" i="121" a="1"/>
  <c r="F505" i="121" s="1"/>
  <c r="E505" i="121" a="1"/>
  <c r="E505" i="121" s="1"/>
  <c r="D505" i="121" a="1"/>
  <c r="D505" i="121" s="1"/>
  <c r="F496" i="121" a="1"/>
  <c r="F496" i="121" s="1"/>
  <c r="F495" i="121" a="1"/>
  <c r="F495" i="121" s="1"/>
  <c r="D495" i="121"/>
  <c r="F494" i="121" a="1"/>
  <c r="F494" i="121" s="1"/>
  <c r="D494" i="121"/>
  <c r="F485" i="121" a="1"/>
  <c r="F485" i="121" s="1"/>
  <c r="D485" i="121"/>
  <c r="F484" i="121" a="1"/>
  <c r="F484" i="121" s="1"/>
  <c r="D484" i="121"/>
  <c r="F483" i="121" a="1"/>
  <c r="F483" i="121" s="1"/>
  <c r="D483" i="121"/>
  <c r="F482" i="121" a="1"/>
  <c r="F482" i="121" s="1"/>
  <c r="D482" i="121"/>
  <c r="F481" i="121" a="1"/>
  <c r="F481" i="121" s="1"/>
  <c r="D481" i="121"/>
  <c r="G472" i="121" a="1"/>
  <c r="G472" i="121" s="1"/>
  <c r="G471" i="121" a="1"/>
  <c r="G471" i="121" s="1"/>
  <c r="G470" i="121" a="1"/>
  <c r="G470" i="121" s="1"/>
  <c r="G469" i="121" a="1"/>
  <c r="G469" i="121" s="1"/>
  <c r="G468" i="121" a="1"/>
  <c r="G468" i="121" s="1"/>
  <c r="G467" i="121" a="1"/>
  <c r="G467" i="121" s="1"/>
  <c r="G466" i="121" a="1"/>
  <c r="G466" i="121" s="1"/>
  <c r="G465" i="121" a="1"/>
  <c r="G465" i="121" s="1"/>
  <c r="H465" i="121" s="1" a="1"/>
  <c r="H465" i="121" s="1"/>
  <c r="G464" i="121" a="1"/>
  <c r="G464" i="121" s="1"/>
  <c r="G463" i="121" a="1"/>
  <c r="G463" i="121" s="1"/>
  <c r="F463" i="121" a="1"/>
  <c r="F463" i="121" s="1"/>
  <c r="E463" i="121" a="1"/>
  <c r="E463" i="121" s="1"/>
  <c r="D463" i="121" a="1"/>
  <c r="D463" i="121" s="1"/>
  <c r="G454" i="121" a="1"/>
  <c r="G454" i="121" s="1"/>
  <c r="G453" i="121" a="1"/>
  <c r="G453" i="121" s="1"/>
  <c r="G452" i="121" a="1"/>
  <c r="G452" i="121" s="1"/>
  <c r="G451" i="121" a="1"/>
  <c r="G451" i="121" s="1"/>
  <c r="G450" i="121" a="1"/>
  <c r="G450" i="121" s="1"/>
  <c r="G449" i="121" a="1"/>
  <c r="G449" i="121" s="1"/>
  <c r="H449" i="121" s="1" a="1"/>
  <c r="H449" i="121" s="1"/>
  <c r="G448" i="121" a="1"/>
  <c r="G448" i="121" s="1"/>
  <c r="G447" i="121" a="1"/>
  <c r="G447" i="121" s="1"/>
  <c r="H447" i="121" s="1" a="1"/>
  <c r="H447" i="121" s="1"/>
  <c r="G446" i="121" a="1"/>
  <c r="G446" i="121" s="1"/>
  <c r="G445" i="121" a="1"/>
  <c r="G445" i="121" s="1"/>
  <c r="F445" i="121" a="1"/>
  <c r="F445" i="121" s="1"/>
  <c r="J445" i="121" s="1" a="1"/>
  <c r="J445" i="121" s="1"/>
  <c r="E445" i="121" a="1"/>
  <c r="E445" i="121" s="1"/>
  <c r="D445" i="121" a="1"/>
  <c r="D445" i="121" s="1"/>
  <c r="G391" i="121" a="1"/>
  <c r="G391" i="121" s="1"/>
  <c r="G390" i="121" a="1"/>
  <c r="G390" i="121" s="1"/>
  <c r="G389" i="121" a="1"/>
  <c r="G389" i="121" s="1"/>
  <c r="G388" i="121" a="1"/>
  <c r="G388" i="121" s="1"/>
  <c r="J388" i="121" s="1" a="1"/>
  <c r="J388" i="121" s="1"/>
  <c r="G387" i="121" a="1"/>
  <c r="G387" i="121" s="1"/>
  <c r="G386" i="121" a="1"/>
  <c r="G386" i="121" s="1"/>
  <c r="G385" i="121" a="1"/>
  <c r="G385" i="121" s="1"/>
  <c r="G384" i="121" a="1"/>
  <c r="G384" i="121" s="1"/>
  <c r="G383" i="121" a="1"/>
  <c r="G383" i="121" s="1"/>
  <c r="G382" i="121" a="1"/>
  <c r="G382" i="121" s="1"/>
  <c r="G351" i="121" a="1"/>
  <c r="G351" i="121" s="1"/>
  <c r="L351" i="121" s="1"/>
  <c r="F351" i="121" a="1"/>
  <c r="F351" i="121" s="1"/>
  <c r="E351" i="121" a="1"/>
  <c r="E351" i="121" s="1"/>
  <c r="D351" i="121" a="1"/>
  <c r="D351" i="121" s="1"/>
  <c r="D320" i="121" a="1"/>
  <c r="D320" i="121" s="1"/>
  <c r="E317" i="121" a="1"/>
  <c r="E317" i="121" s="1"/>
  <c r="E316" i="121" a="1"/>
  <c r="E316" i="121" s="1"/>
  <c r="E315" i="121" a="1"/>
  <c r="E315" i="121" s="1"/>
  <c r="F296" i="121" a="1"/>
  <c r="F296" i="121" s="1"/>
  <c r="E296" i="121"/>
  <c r="F295" i="121" a="1"/>
  <c r="F295" i="121" s="1"/>
  <c r="E295" i="121"/>
  <c r="F294" i="121" a="1"/>
  <c r="F294" i="121" s="1"/>
  <c r="E294" i="121"/>
  <c r="F293" i="121" a="1"/>
  <c r="F293" i="121" s="1"/>
  <c r="E293" i="121"/>
  <c r="F292" i="121" a="1"/>
  <c r="F292" i="121" s="1"/>
  <c r="E292" i="121"/>
  <c r="F291" i="121" a="1"/>
  <c r="F291" i="121" s="1"/>
  <c r="E291" i="121"/>
  <c r="F290" i="121" a="1"/>
  <c r="F290" i="121" s="1"/>
  <c r="E290" i="121"/>
  <c r="F289" i="121" a="1"/>
  <c r="F289" i="121" s="1"/>
  <c r="E289" i="121"/>
  <c r="F288" i="121" a="1"/>
  <c r="F288" i="121" s="1"/>
  <c r="E288" i="121"/>
  <c r="F287" i="121" a="1"/>
  <c r="F287" i="121" s="1"/>
  <c r="E287" i="121"/>
  <c r="F286" i="121" a="1"/>
  <c r="F286" i="121" s="1"/>
  <c r="E286" i="121"/>
  <c r="F285" i="121" a="1"/>
  <c r="F285" i="121" s="1"/>
  <c r="E285" i="121"/>
  <c r="D285" i="121" a="1"/>
  <c r="D285" i="121" s="1"/>
  <c r="AE261" i="121" a="1"/>
  <c r="AE261" i="121" s="1"/>
  <c r="AA261" i="121" a="1"/>
  <c r="AA261" i="121" s="1"/>
  <c r="W261" i="121" a="1"/>
  <c r="W261" i="121" s="1"/>
  <c r="S261" i="121" a="1"/>
  <c r="S261" i="121" s="1"/>
  <c r="AE260" i="121" a="1"/>
  <c r="AE260" i="121" s="1"/>
  <c r="AA260" i="121" a="1"/>
  <c r="AA260" i="121" s="1"/>
  <c r="W260" i="121" a="1"/>
  <c r="W260" i="121" s="1"/>
  <c r="S260" i="121" a="1"/>
  <c r="S260" i="121" s="1"/>
  <c r="AE259" i="121" a="1"/>
  <c r="AE259" i="121" s="1"/>
  <c r="AA259" i="121" a="1"/>
  <c r="AA259" i="121" s="1"/>
  <c r="W259" i="121" a="1"/>
  <c r="W259" i="121" s="1"/>
  <c r="S259" i="121" a="1"/>
  <c r="S259" i="121" s="1"/>
  <c r="AE258" i="121" a="1"/>
  <c r="AE258" i="121" s="1"/>
  <c r="AA258" i="121" a="1"/>
  <c r="AA258" i="121" s="1"/>
  <c r="W258" i="121" a="1"/>
  <c r="W258" i="121" s="1"/>
  <c r="S258" i="121" a="1"/>
  <c r="S258" i="121" s="1"/>
  <c r="AE257" i="121" a="1"/>
  <c r="AE257" i="121" s="1"/>
  <c r="AA257" i="121" a="1"/>
  <c r="AA257" i="121" s="1"/>
  <c r="W257" i="121" a="1"/>
  <c r="W257" i="121" s="1"/>
  <c r="S257" i="121" a="1"/>
  <c r="S257" i="121" s="1"/>
  <c r="AE256" i="121" a="1"/>
  <c r="AE256" i="121" s="1"/>
  <c r="AA256" i="121" a="1"/>
  <c r="AA256" i="121" s="1"/>
  <c r="W256" i="121" a="1"/>
  <c r="W256" i="121" s="1"/>
  <c r="S256" i="121" a="1"/>
  <c r="S256" i="121" s="1"/>
  <c r="AE255" i="121" a="1"/>
  <c r="AE255" i="121" s="1"/>
  <c r="AA255" i="121" a="1"/>
  <c r="AA255" i="121" s="1"/>
  <c r="W255" i="121" a="1"/>
  <c r="W255" i="121" s="1"/>
  <c r="S255" i="121" a="1"/>
  <c r="S255" i="121" s="1"/>
  <c r="AE254" i="121" a="1"/>
  <c r="AE254" i="121" s="1"/>
  <c r="AA254" i="121" a="1"/>
  <c r="AA254" i="121" s="1"/>
  <c r="W254" i="121" a="1"/>
  <c r="W254" i="121" s="1"/>
  <c r="S254" i="121" a="1"/>
  <c r="S254" i="121" s="1"/>
  <c r="AE253" i="121" a="1"/>
  <c r="AE253" i="121" s="1"/>
  <c r="AA253" i="121" a="1"/>
  <c r="AA253" i="121" s="1"/>
  <c r="W253" i="121" a="1"/>
  <c r="W253" i="121" s="1"/>
  <c r="S253" i="121" a="1"/>
  <c r="S253" i="121" s="1"/>
  <c r="AE252" i="121" a="1"/>
  <c r="AE252" i="121" s="1"/>
  <c r="AD252" i="121" a="1"/>
  <c r="AD252" i="121" s="1"/>
  <c r="AC252" i="121" a="1"/>
  <c r="AC252" i="121" s="1"/>
  <c r="AA252" i="121" a="1"/>
  <c r="AA252" i="121" s="1"/>
  <c r="Z252" i="121" a="1"/>
  <c r="Z252" i="121" s="1"/>
  <c r="Y252" i="121" a="1"/>
  <c r="Y252" i="121" s="1"/>
  <c r="W252" i="121" a="1"/>
  <c r="W252" i="121" s="1"/>
  <c r="V252" i="121" a="1"/>
  <c r="V252" i="121" s="1"/>
  <c r="U252" i="121" a="1"/>
  <c r="U252" i="121" s="1"/>
  <c r="S252" i="121" a="1"/>
  <c r="S252" i="121" s="1"/>
  <c r="R252" i="121" a="1"/>
  <c r="R252" i="121" s="1"/>
  <c r="Q252" i="121" a="1"/>
  <c r="Q252" i="121" s="1"/>
  <c r="P252" i="121" a="1"/>
  <c r="P252" i="121" s="1"/>
  <c r="O252" i="121" a="1"/>
  <c r="O252" i="121" s="1"/>
  <c r="D252" i="121" a="1"/>
  <c r="D252" i="121" s="1"/>
  <c r="AM245" i="121" a="1"/>
  <c r="AM245" i="121" s="1"/>
  <c r="AI245" i="121" a="1"/>
  <c r="AI245" i="121" s="1"/>
  <c r="AE245" i="121" a="1"/>
  <c r="AE245" i="121" s="1"/>
  <c r="AA245" i="121" a="1"/>
  <c r="AA245" i="121" s="1"/>
  <c r="W245" i="121" a="1"/>
  <c r="W245" i="121" s="1"/>
  <c r="S245" i="121" a="1"/>
  <c r="S245" i="121" s="1"/>
  <c r="AM244" i="121" a="1"/>
  <c r="AM244" i="121" s="1"/>
  <c r="AI244" i="121" a="1"/>
  <c r="AI244" i="121" s="1"/>
  <c r="AE244" i="121" a="1"/>
  <c r="AE244" i="121" s="1"/>
  <c r="AA244" i="121" a="1"/>
  <c r="AA244" i="121" s="1"/>
  <c r="W244" i="121" a="1"/>
  <c r="W244" i="121" s="1"/>
  <c r="S244" i="121" a="1"/>
  <c r="S244" i="121" s="1"/>
  <c r="AM243" i="121" a="1"/>
  <c r="AM243" i="121" s="1"/>
  <c r="AI243" i="121" a="1"/>
  <c r="AI243" i="121" s="1"/>
  <c r="AE243" i="121" a="1"/>
  <c r="AE243" i="121" s="1"/>
  <c r="AA243" i="121" a="1"/>
  <c r="AA243" i="121" s="1"/>
  <c r="W243" i="121" a="1"/>
  <c r="W243" i="121" s="1"/>
  <c r="S243" i="121" a="1"/>
  <c r="S243" i="121" s="1"/>
  <c r="AM242" i="121" a="1"/>
  <c r="AM242" i="121" s="1"/>
  <c r="AI242" i="121" a="1"/>
  <c r="AI242" i="121" s="1"/>
  <c r="AE242" i="121" a="1"/>
  <c r="AE242" i="121" s="1"/>
  <c r="AA242" i="121" a="1"/>
  <c r="AA242" i="121" s="1"/>
  <c r="W242" i="121" a="1"/>
  <c r="W242" i="121" s="1"/>
  <c r="S242" i="121" a="1"/>
  <c r="S242" i="121" s="1"/>
  <c r="AM241" i="121" a="1"/>
  <c r="AM241" i="121" s="1"/>
  <c r="AI241" i="121" a="1"/>
  <c r="AI241" i="121" s="1"/>
  <c r="AE241" i="121" a="1"/>
  <c r="AE241" i="121" s="1"/>
  <c r="AA241" i="121" a="1"/>
  <c r="AA241" i="121" s="1"/>
  <c r="W241" i="121" a="1"/>
  <c r="W241" i="121" s="1"/>
  <c r="S241" i="121" a="1"/>
  <c r="S241" i="121" s="1"/>
  <c r="AM240" i="121" a="1"/>
  <c r="AM240" i="121" s="1"/>
  <c r="AI240" i="121" a="1"/>
  <c r="AI240" i="121" s="1"/>
  <c r="AE240" i="121" a="1"/>
  <c r="AE240" i="121" s="1"/>
  <c r="AA240" i="121" a="1"/>
  <c r="AA240" i="121" s="1"/>
  <c r="W240" i="121" a="1"/>
  <c r="W240" i="121" s="1"/>
  <c r="S240" i="121" a="1"/>
  <c r="S240" i="121" s="1"/>
  <c r="AM239" i="121" a="1"/>
  <c r="AM239" i="121" s="1"/>
  <c r="AI239" i="121" a="1"/>
  <c r="AI239" i="121" s="1"/>
  <c r="AE239" i="121" a="1"/>
  <c r="AE239" i="121" s="1"/>
  <c r="AA239" i="121" a="1"/>
  <c r="AA239" i="121" s="1"/>
  <c r="W239" i="121" a="1"/>
  <c r="W239" i="121" s="1"/>
  <c r="S239" i="121" a="1"/>
  <c r="S239" i="121" s="1"/>
  <c r="AM238" i="121" a="1"/>
  <c r="AM238" i="121" s="1"/>
  <c r="AI238" i="121" a="1"/>
  <c r="AI238" i="121" s="1"/>
  <c r="AE238" i="121" a="1"/>
  <c r="AE238" i="121" s="1"/>
  <c r="AA238" i="121" a="1"/>
  <c r="AA238" i="121" s="1"/>
  <c r="W238" i="121" a="1"/>
  <c r="W238" i="121" s="1"/>
  <c r="S238" i="121" a="1"/>
  <c r="S238" i="121" s="1"/>
  <c r="AM237" i="121" a="1"/>
  <c r="AM237" i="121" s="1"/>
  <c r="AI237" i="121" a="1"/>
  <c r="AI237" i="121" s="1"/>
  <c r="AE237" i="121" a="1"/>
  <c r="AE237" i="121" s="1"/>
  <c r="AA237" i="121" a="1"/>
  <c r="AA237" i="121" s="1"/>
  <c r="W237" i="121" a="1"/>
  <c r="W237" i="121" s="1"/>
  <c r="S237" i="121" a="1"/>
  <c r="S237" i="121" s="1"/>
  <c r="AM236" i="121" a="1"/>
  <c r="AM236" i="121" s="1"/>
  <c r="AL236" i="121" a="1"/>
  <c r="AL236" i="121" s="1"/>
  <c r="AK236" i="121" a="1"/>
  <c r="AK236" i="121" s="1"/>
  <c r="AI236" i="121" a="1"/>
  <c r="AI236" i="121" s="1"/>
  <c r="AH236" i="121" a="1"/>
  <c r="AH236" i="121" s="1"/>
  <c r="AG236" i="121" a="1"/>
  <c r="AG236" i="121" s="1"/>
  <c r="AE236" i="121" a="1"/>
  <c r="AE236" i="121" s="1"/>
  <c r="AD236" i="121" a="1"/>
  <c r="AD236" i="121" s="1"/>
  <c r="AC236" i="121" a="1"/>
  <c r="AC236" i="121" s="1"/>
  <c r="AA236" i="121" a="1"/>
  <c r="AA236" i="121" s="1"/>
  <c r="Z236" i="121" a="1"/>
  <c r="Z236" i="121" s="1"/>
  <c r="Y236" i="121" a="1"/>
  <c r="Y236" i="121" s="1"/>
  <c r="W236" i="121" a="1"/>
  <c r="W236" i="121" s="1"/>
  <c r="V236" i="121" a="1"/>
  <c r="V236" i="121" s="1"/>
  <c r="U236" i="121" a="1"/>
  <c r="U236" i="121" s="1"/>
  <c r="S236" i="121" a="1"/>
  <c r="S236" i="121" s="1"/>
  <c r="R236" i="121" a="1"/>
  <c r="R236" i="121" s="1"/>
  <c r="Q236" i="121" a="1"/>
  <c r="Q236" i="121" s="1"/>
  <c r="P236" i="121" a="1"/>
  <c r="P236" i="121" s="1"/>
  <c r="O236" i="121" a="1"/>
  <c r="O236" i="121" s="1"/>
  <c r="D236" i="121" a="1"/>
  <c r="D236" i="121" s="1"/>
  <c r="F179" i="121" a="1"/>
  <c r="F179" i="121" s="1"/>
  <c r="D179" i="121"/>
  <c r="F178" i="121" a="1"/>
  <c r="F178" i="121" s="1"/>
  <c r="D178" i="121"/>
  <c r="F177" i="121" a="1"/>
  <c r="F177" i="121" s="1"/>
  <c r="D177" i="121"/>
  <c r="F153" i="121" a="1"/>
  <c r="F153" i="121" s="1"/>
  <c r="F152" i="121" a="1"/>
  <c r="F152" i="121" s="1"/>
  <c r="F151" i="121" a="1"/>
  <c r="F151" i="121" s="1"/>
  <c r="F150" i="121" a="1"/>
  <c r="F150" i="121" s="1"/>
  <c r="F149" i="121" a="1"/>
  <c r="F149" i="121" s="1"/>
  <c r="F148" i="121" a="1"/>
  <c r="F148" i="121" s="1"/>
  <c r="F140" i="121" a="1"/>
  <c r="F140" i="121" s="1"/>
  <c r="D140" i="121"/>
  <c r="F139" i="121" a="1"/>
  <c r="F139" i="121" s="1"/>
  <c r="D139" i="121"/>
  <c r="F138" i="121" a="1"/>
  <c r="F138" i="121" s="1"/>
  <c r="G138" i="121" s="1" a="1"/>
  <c r="G138" i="121" s="1"/>
  <c r="D138" i="121"/>
  <c r="F137" i="121" a="1"/>
  <c r="F137" i="121" s="1"/>
  <c r="D137" i="121"/>
  <c r="AB129" i="121" a="1"/>
  <c r="AB129" i="121" s="1"/>
  <c r="X129" i="121" a="1"/>
  <c r="X129" i="121" s="1"/>
  <c r="T129" i="121" a="1"/>
  <c r="T129" i="121" s="1"/>
  <c r="P129" i="121" a="1"/>
  <c r="P129" i="121" s="1"/>
  <c r="AB128" i="121" a="1"/>
  <c r="AB128" i="121" s="1"/>
  <c r="X128" i="121" a="1"/>
  <c r="X128" i="121" s="1"/>
  <c r="T128" i="121" a="1"/>
  <c r="T128" i="121" s="1"/>
  <c r="P128" i="121" a="1"/>
  <c r="P128" i="121" s="1"/>
  <c r="AB127" i="121" a="1"/>
  <c r="AB127" i="121" s="1"/>
  <c r="X127" i="121" a="1"/>
  <c r="X127" i="121" s="1"/>
  <c r="T127" i="121" a="1"/>
  <c r="T127" i="121" s="1"/>
  <c r="P127" i="121" a="1"/>
  <c r="P127" i="121" s="1"/>
  <c r="AB126" i="121" a="1"/>
  <c r="AB126" i="121" s="1"/>
  <c r="X126" i="121" a="1"/>
  <c r="X126" i="121" s="1"/>
  <c r="T126" i="121" a="1"/>
  <c r="T126" i="121" s="1"/>
  <c r="P126" i="121" a="1"/>
  <c r="P126" i="121" s="1"/>
  <c r="AB125" i="121" a="1"/>
  <c r="AB125" i="121" s="1"/>
  <c r="X125" i="121" a="1"/>
  <c r="X125" i="121" s="1"/>
  <c r="T125" i="121" a="1"/>
  <c r="T125" i="121" s="1"/>
  <c r="P125" i="121" a="1"/>
  <c r="P125" i="121" s="1"/>
  <c r="AB124" i="121" a="1"/>
  <c r="AB124" i="121" s="1"/>
  <c r="X124" i="121" a="1"/>
  <c r="X124" i="121" s="1"/>
  <c r="T124" i="121" a="1"/>
  <c r="T124" i="121" s="1"/>
  <c r="P124" i="121" a="1"/>
  <c r="P124" i="121" s="1"/>
  <c r="AB123" i="121" a="1"/>
  <c r="AB123" i="121" s="1"/>
  <c r="X123" i="121" a="1"/>
  <c r="X123" i="121" s="1"/>
  <c r="T123" i="121" a="1"/>
  <c r="T123" i="121" s="1"/>
  <c r="P123" i="121" a="1"/>
  <c r="P123" i="121" s="1"/>
  <c r="AB122" i="121" a="1"/>
  <c r="AB122" i="121" s="1"/>
  <c r="X122" i="121" a="1"/>
  <c r="X122" i="121" s="1"/>
  <c r="T122" i="121" a="1"/>
  <c r="T122" i="121" s="1"/>
  <c r="P122" i="121" a="1"/>
  <c r="P122" i="121" s="1"/>
  <c r="AB121" i="121" a="1"/>
  <c r="AB121" i="121" s="1"/>
  <c r="X121" i="121" a="1"/>
  <c r="X121" i="121" s="1"/>
  <c r="T121" i="121" a="1"/>
  <c r="T121" i="121" s="1"/>
  <c r="P121" i="121" a="1"/>
  <c r="P121" i="121" s="1"/>
  <c r="AB120" i="121" a="1"/>
  <c r="AB120" i="121" s="1"/>
  <c r="AA120" i="121" a="1"/>
  <c r="AA120" i="121" s="1"/>
  <c r="Z120" i="121" a="1"/>
  <c r="Z120" i="121" s="1"/>
  <c r="Y120" i="121" a="1"/>
  <c r="Y120" i="121" s="1"/>
  <c r="X120" i="121" a="1"/>
  <c r="X120" i="121" s="1"/>
  <c r="W120" i="121" a="1"/>
  <c r="W120" i="121" s="1"/>
  <c r="V120" i="121" a="1"/>
  <c r="V120" i="121" s="1"/>
  <c r="U120" i="121" a="1"/>
  <c r="U120" i="121" s="1"/>
  <c r="T120" i="121" a="1"/>
  <c r="T120" i="121" s="1"/>
  <c r="S120" i="121" a="1"/>
  <c r="S120" i="121" s="1"/>
  <c r="R120" i="121" a="1"/>
  <c r="R120" i="121" s="1"/>
  <c r="Q120" i="121" a="1"/>
  <c r="Q120" i="121" s="1"/>
  <c r="P120" i="121" a="1"/>
  <c r="P120" i="121" s="1"/>
  <c r="O120" i="121" a="1"/>
  <c r="O120" i="121" s="1"/>
  <c r="N120" i="121" a="1"/>
  <c r="N120" i="121" s="1"/>
  <c r="M120" i="121" a="1"/>
  <c r="M120" i="121" s="1"/>
  <c r="E120" i="121" a="1"/>
  <c r="E120" i="121" s="1"/>
  <c r="D120" i="121" a="1"/>
  <c r="D120" i="121" s="1"/>
  <c r="E76" i="121" a="1"/>
  <c r="E76" i="121" s="1"/>
  <c r="E58" i="121" a="1"/>
  <c r="E58" i="121" s="1"/>
  <c r="H42" i="121" a="1"/>
  <c r="H42" i="121" s="1"/>
  <c r="F42" i="121" a="1"/>
  <c r="F42" i="121" s="1"/>
  <c r="E42" i="121" a="1"/>
  <c r="E42" i="121" s="1"/>
  <c r="D42" i="121" a="1"/>
  <c r="D42" i="121" s="1"/>
  <c r="E39" i="121" a="1"/>
  <c r="E39" i="121" s="1"/>
  <c r="G44" i="121" s="1" a="1"/>
  <c r="G44" i="121" s="1"/>
  <c r="I32" i="121" a="1"/>
  <c r="I32" i="121" s="1"/>
  <c r="I31" i="121" a="1"/>
  <c r="I31" i="121" s="1"/>
  <c r="M31" i="121" s="1" a="1"/>
  <c r="M31" i="121" s="1"/>
  <c r="I30" i="121" a="1"/>
  <c r="I30" i="121" s="1"/>
  <c r="I29" i="121" a="1"/>
  <c r="I29" i="121" s="1"/>
  <c r="M29" i="121" s="1" a="1"/>
  <c r="M29" i="121" s="1"/>
  <c r="I28" i="121" a="1"/>
  <c r="I28" i="121" s="1"/>
  <c r="I27" i="121" a="1"/>
  <c r="I27" i="121" s="1"/>
  <c r="I26" i="121" a="1"/>
  <c r="I26" i="121" s="1"/>
  <c r="I25" i="121" a="1"/>
  <c r="I25" i="121" s="1"/>
  <c r="I24" i="121" a="1"/>
  <c r="I24" i="121" s="1"/>
  <c r="I23" i="121" a="1"/>
  <c r="I23" i="121" s="1"/>
  <c r="J36" i="102" a="1"/>
  <c r="J36" i="102" s="1"/>
  <c r="G190" i="109" a="1"/>
  <c r="G190" i="109" s="1"/>
  <c r="G189" i="109" a="1"/>
  <c r="G189" i="109" s="1"/>
  <c r="G188" i="109" a="1"/>
  <c r="G188" i="109" s="1"/>
  <c r="G187" i="109" a="1"/>
  <c r="G187" i="109" s="1"/>
  <c r="G186" i="109" a="1"/>
  <c r="G186" i="109" s="1"/>
  <c r="J185" i="109" a="1"/>
  <c r="J185" i="109" s="1"/>
  <c r="G184" i="109" a="1"/>
  <c r="G184" i="109" s="1"/>
  <c r="G183" i="109" a="1"/>
  <c r="G183" i="109" s="1"/>
  <c r="G182" i="109" a="1"/>
  <c r="G182" i="109" s="1"/>
  <c r="G181" i="109" a="1"/>
  <c r="G181" i="109" s="1"/>
  <c r="G180" i="109" a="1"/>
  <c r="G180" i="109" s="1"/>
  <c r="J179" i="109" a="1"/>
  <c r="J179" i="109" s="1"/>
  <c r="J178" i="109" a="1"/>
  <c r="J178" i="109" s="1"/>
  <c r="G178" i="109" a="1"/>
  <c r="G178" i="109" s="1"/>
  <c r="J177" i="109" a="1"/>
  <c r="J177" i="109" s="1"/>
  <c r="G177" i="109" a="1"/>
  <c r="G177" i="109" s="1"/>
  <c r="J176" i="109" a="1"/>
  <c r="J176" i="109" s="1"/>
  <c r="G176" i="109" a="1"/>
  <c r="G176" i="109" s="1"/>
  <c r="J175" i="109" a="1"/>
  <c r="J175" i="109" s="1"/>
  <c r="G175" i="109" a="1"/>
  <c r="G175" i="109" s="1"/>
  <c r="J174" i="109" a="1"/>
  <c r="J174" i="109" s="1"/>
  <c r="G174" i="109" a="1"/>
  <c r="G174" i="109" s="1"/>
  <c r="J173" i="109" a="1"/>
  <c r="J173" i="109" s="1"/>
  <c r="G173" i="109" a="1"/>
  <c r="G173" i="109" s="1"/>
  <c r="G172" i="109" a="1"/>
  <c r="G172" i="109" s="1"/>
  <c r="G171" i="109" a="1"/>
  <c r="G171" i="109" s="1"/>
  <c r="G170" i="109" a="1"/>
  <c r="G170" i="109" s="1"/>
  <c r="G169" i="109" a="1"/>
  <c r="G169" i="109" s="1"/>
  <c r="J168" i="109" a="1"/>
  <c r="J168" i="109" s="1"/>
  <c r="J167" i="109" a="1"/>
  <c r="J167" i="109" s="1"/>
  <c r="G167" i="109" a="1"/>
  <c r="G167" i="109" s="1"/>
  <c r="J166" i="109" a="1"/>
  <c r="J166" i="109" s="1"/>
  <c r="G166" i="109" a="1"/>
  <c r="G166" i="109" s="1"/>
  <c r="J165" i="109" a="1"/>
  <c r="J165" i="109" s="1"/>
  <c r="G165" i="109" a="1"/>
  <c r="G165" i="109" s="1"/>
  <c r="J164" i="109" a="1"/>
  <c r="J164" i="109" s="1"/>
  <c r="G164" i="109" a="1"/>
  <c r="G164" i="109"/>
  <c r="J163" i="109" a="1"/>
  <c r="J163" i="109" s="1"/>
  <c r="G163" i="109" a="1"/>
  <c r="G163" i="109" s="1"/>
  <c r="J162" i="109" a="1"/>
  <c r="J162" i="109" s="1"/>
  <c r="G162" i="109" a="1"/>
  <c r="G162" i="109" s="1"/>
  <c r="J161" i="109" a="1"/>
  <c r="J161" i="109" s="1"/>
  <c r="G161" i="109" a="1"/>
  <c r="G161" i="109" s="1"/>
  <c r="J160" i="109" a="1"/>
  <c r="J160" i="109" s="1"/>
  <c r="G160" i="109" a="1"/>
  <c r="G160" i="109" s="1"/>
  <c r="J159" i="109" a="1"/>
  <c r="J159" i="109" s="1"/>
  <c r="G159" i="109" a="1"/>
  <c r="G159" i="109" s="1"/>
  <c r="J158" i="109" a="1"/>
  <c r="J158" i="109" s="1"/>
  <c r="G158" i="109" a="1"/>
  <c r="G158" i="109" s="1"/>
  <c r="J157" i="109" a="1"/>
  <c r="J157" i="109" s="1"/>
  <c r="G157" i="109" a="1"/>
  <c r="G157" i="109" s="1"/>
  <c r="E157" i="109" a="1"/>
  <c r="E157" i="109" s="1"/>
  <c r="D157" i="109" a="1"/>
  <c r="D157" i="109" s="1"/>
  <c r="G149" i="109" a="1"/>
  <c r="G149" i="109" s="1"/>
  <c r="G148" i="109" a="1"/>
  <c r="G148" i="109" s="1"/>
  <c r="G147" i="109" a="1"/>
  <c r="G147" i="109" s="1"/>
  <c r="G146" i="109" a="1"/>
  <c r="G146" i="109" s="1"/>
  <c r="G145" i="109" a="1"/>
  <c r="G145" i="109" s="1"/>
  <c r="J144" i="109" a="1"/>
  <c r="J144" i="109" s="1"/>
  <c r="G143" i="109" a="1"/>
  <c r="G143" i="109" s="1"/>
  <c r="G142" i="109" a="1"/>
  <c r="G142" i="109" s="1"/>
  <c r="G141" i="109" a="1"/>
  <c r="G141" i="109" s="1"/>
  <c r="G140" i="109" a="1"/>
  <c r="G140" i="109" s="1"/>
  <c r="G139" i="109" a="1"/>
  <c r="G139" i="109" s="1"/>
  <c r="J138" i="109" a="1"/>
  <c r="J138" i="109" s="1"/>
  <c r="J137" i="109" a="1"/>
  <c r="J137" i="109" s="1"/>
  <c r="G137" i="109" a="1"/>
  <c r="G137" i="109" s="1"/>
  <c r="J136" i="109" a="1"/>
  <c r="J136" i="109" s="1"/>
  <c r="G136" i="109" a="1"/>
  <c r="G136" i="109" s="1"/>
  <c r="J135" i="109" a="1"/>
  <c r="J135" i="109" s="1"/>
  <c r="G135" i="109" a="1"/>
  <c r="G135" i="109" s="1"/>
  <c r="J134" i="109" a="1"/>
  <c r="J134" i="109" s="1"/>
  <c r="G134" i="109" a="1"/>
  <c r="G134" i="109" s="1"/>
  <c r="J133" i="109" a="1"/>
  <c r="J133" i="109" s="1"/>
  <c r="G133" i="109" a="1"/>
  <c r="G133" i="109" s="1"/>
  <c r="J132" i="109" a="1"/>
  <c r="J132" i="109" s="1"/>
  <c r="G132" i="109" a="1"/>
  <c r="G132" i="109" s="1"/>
  <c r="G131" i="109" a="1"/>
  <c r="G131" i="109" s="1"/>
  <c r="G130" i="109" a="1"/>
  <c r="G130" i="109" s="1"/>
  <c r="G129" i="109" a="1"/>
  <c r="G129" i="109" s="1"/>
  <c r="G128" i="109" a="1"/>
  <c r="G128" i="109" s="1"/>
  <c r="J127" i="109" a="1"/>
  <c r="J127" i="109" s="1"/>
  <c r="J126" i="109" a="1"/>
  <c r="J126" i="109" s="1"/>
  <c r="G126" i="109" a="1"/>
  <c r="G126" i="109" s="1"/>
  <c r="J125" i="109" a="1"/>
  <c r="J125" i="109" s="1"/>
  <c r="G125" i="109" a="1"/>
  <c r="G125" i="109" s="1"/>
  <c r="J124" i="109" a="1"/>
  <c r="J124" i="109" s="1"/>
  <c r="G124" i="109" a="1"/>
  <c r="G124" i="109" s="1"/>
  <c r="J123" i="109" a="1"/>
  <c r="J123" i="109" s="1"/>
  <c r="G123" i="109" a="1"/>
  <c r="G123" i="109" s="1"/>
  <c r="J122" i="109" a="1"/>
  <c r="J122" i="109" s="1"/>
  <c r="G122" i="109" a="1"/>
  <c r="G122" i="109" s="1"/>
  <c r="J121" i="109" a="1"/>
  <c r="J121" i="109" s="1"/>
  <c r="G121" i="109" a="1"/>
  <c r="G121" i="109" s="1"/>
  <c r="J120" i="109" a="1"/>
  <c r="J120" i="109" s="1"/>
  <c r="G120" i="109" a="1"/>
  <c r="G120" i="109" s="1"/>
  <c r="J119" i="109" a="1"/>
  <c r="J119" i="109" s="1"/>
  <c r="G119" i="109" a="1"/>
  <c r="G119" i="109" s="1"/>
  <c r="J118" i="109" a="1"/>
  <c r="J118" i="109" s="1"/>
  <c r="G118" i="109" a="1"/>
  <c r="G118" i="109" s="1"/>
  <c r="J117" i="109" a="1"/>
  <c r="J117" i="109" s="1"/>
  <c r="G117" i="109" a="1"/>
  <c r="G117" i="109" s="1"/>
  <c r="J116" i="109" a="1"/>
  <c r="J116" i="109" s="1"/>
  <c r="G116" i="109" a="1"/>
  <c r="G116" i="109" s="1"/>
  <c r="E116" i="109" a="1"/>
  <c r="E116" i="109" s="1"/>
  <c r="D116" i="109" a="1"/>
  <c r="D116" i="109" s="1"/>
  <c r="H92" i="109" a="1"/>
  <c r="H92" i="109" s="1"/>
  <c r="G92" i="109" a="1"/>
  <c r="G92" i="109" s="1"/>
  <c r="H91" i="109" a="1"/>
  <c r="H91" i="109" s="1"/>
  <c r="G91" i="109" a="1"/>
  <c r="G91" i="109" s="1"/>
  <c r="H90" i="109" a="1"/>
  <c r="H90" i="109" s="1"/>
  <c r="G90" i="109" a="1"/>
  <c r="G90" i="109" s="1"/>
  <c r="H89" i="109" a="1"/>
  <c r="H89" i="109" s="1"/>
  <c r="G89" i="109" a="1"/>
  <c r="G89" i="109" s="1"/>
  <c r="H88" i="109" a="1"/>
  <c r="H88" i="109" s="1"/>
  <c r="G88" i="109" a="1"/>
  <c r="G88" i="109" s="1"/>
  <c r="H86" i="109" a="1"/>
  <c r="H86" i="109" s="1"/>
  <c r="G86" i="109" a="1"/>
  <c r="G86" i="109" s="1"/>
  <c r="H85" i="109" a="1"/>
  <c r="H85" i="109" s="1"/>
  <c r="G85" i="109" a="1"/>
  <c r="G85" i="109" s="1"/>
  <c r="H84" i="109" a="1"/>
  <c r="H84" i="109" s="1"/>
  <c r="G84" i="109" a="1"/>
  <c r="G84" i="109" s="1"/>
  <c r="H83" i="109" a="1"/>
  <c r="H83" i="109" s="1"/>
  <c r="G83" i="109" a="1"/>
  <c r="G83" i="109" s="1"/>
  <c r="H82" i="109" a="1"/>
  <c r="H82" i="109" s="1"/>
  <c r="G82" i="109" a="1"/>
  <c r="G82" i="109" s="1"/>
  <c r="H80" i="109" a="1"/>
  <c r="H80" i="109" s="1"/>
  <c r="G80" i="109" a="1"/>
  <c r="G80" i="109" s="1"/>
  <c r="H79" i="109" a="1"/>
  <c r="H79" i="109" s="1"/>
  <c r="G79" i="109" a="1"/>
  <c r="G79" i="109" s="1"/>
  <c r="H78" i="109" a="1"/>
  <c r="H78" i="109" s="1"/>
  <c r="G78" i="109" a="1"/>
  <c r="G78" i="109" s="1"/>
  <c r="H77" i="109" a="1"/>
  <c r="H77" i="109" s="1"/>
  <c r="G77" i="109" a="1"/>
  <c r="G77" i="109" s="1"/>
  <c r="H76" i="109" a="1"/>
  <c r="H76" i="109" s="1"/>
  <c r="G76" i="109" a="1"/>
  <c r="G76" i="109" s="1"/>
  <c r="H75" i="109" a="1"/>
  <c r="H75" i="109" s="1"/>
  <c r="G75" i="109" a="1"/>
  <c r="G75" i="109" s="1"/>
  <c r="H74" i="109" a="1"/>
  <c r="H74" i="109" s="1"/>
  <c r="G74" i="109" a="1"/>
  <c r="G74" i="109" s="1"/>
  <c r="H73" i="109" a="1"/>
  <c r="H73" i="109" s="1"/>
  <c r="G73" i="109" a="1"/>
  <c r="G73" i="109" s="1"/>
  <c r="H72" i="109" a="1"/>
  <c r="H72" i="109" s="1"/>
  <c r="G72" i="109" a="1"/>
  <c r="G72" i="109" s="1"/>
  <c r="H71" i="109" a="1"/>
  <c r="H71" i="109" s="1"/>
  <c r="G71" i="109" a="1"/>
  <c r="G71" i="109" s="1"/>
  <c r="H69" i="109" a="1"/>
  <c r="H69" i="109" s="1"/>
  <c r="G69" i="109" a="1"/>
  <c r="G69" i="109" s="1"/>
  <c r="H68" i="109" a="1"/>
  <c r="H68" i="109" s="1"/>
  <c r="G68" i="109" a="1"/>
  <c r="G68" i="109" s="1"/>
  <c r="H67" i="109" a="1"/>
  <c r="H67" i="109" s="1"/>
  <c r="G67" i="109" a="1"/>
  <c r="G67" i="109" s="1"/>
  <c r="H66" i="109" a="1"/>
  <c r="H66" i="109" s="1"/>
  <c r="G66" i="109" a="1"/>
  <c r="G66" i="109" s="1"/>
  <c r="H65" i="109" a="1"/>
  <c r="H65" i="109" s="1"/>
  <c r="G65" i="109" a="1"/>
  <c r="G65" i="109" s="1"/>
  <c r="H64" i="109" a="1"/>
  <c r="H64" i="109" s="1"/>
  <c r="G64" i="109" a="1"/>
  <c r="G64" i="109" s="1"/>
  <c r="H63" i="109" a="1"/>
  <c r="H63" i="109" s="1"/>
  <c r="G63" i="109" a="1"/>
  <c r="G63" i="109" s="1"/>
  <c r="H62" i="109" a="1"/>
  <c r="H62" i="109" s="1"/>
  <c r="G62" i="109" a="1"/>
  <c r="G62" i="109" s="1"/>
  <c r="H61" i="109" a="1"/>
  <c r="H61" i="109" s="1"/>
  <c r="G61" i="109" a="1"/>
  <c r="G61" i="109" s="1"/>
  <c r="H60" i="109" a="1"/>
  <c r="H60" i="109" s="1"/>
  <c r="G60" i="109" a="1"/>
  <c r="G60" i="109" s="1"/>
  <c r="H59" i="109" a="1"/>
  <c r="H59" i="109" s="1"/>
  <c r="G59" i="109" a="1"/>
  <c r="G59" i="109" s="1"/>
  <c r="E59" i="109" a="1"/>
  <c r="E59" i="109" s="1"/>
  <c r="D59" i="109" a="1"/>
  <c r="D59" i="109" s="1"/>
  <c r="H54" i="109" a="1"/>
  <c r="H54" i="109" s="1"/>
  <c r="G54" i="109" a="1"/>
  <c r="G54" i="109" s="1"/>
  <c r="H53" i="109" a="1"/>
  <c r="H53" i="109" s="1"/>
  <c r="G53" i="109" a="1"/>
  <c r="G53" i="109" s="1"/>
  <c r="H52" i="109" a="1"/>
  <c r="H52" i="109" s="1"/>
  <c r="G52" i="109" a="1"/>
  <c r="G52" i="109" s="1"/>
  <c r="H51" i="109" a="1"/>
  <c r="H51" i="109" s="1"/>
  <c r="G51" i="109" a="1"/>
  <c r="G51" i="109" s="1"/>
  <c r="H50" i="109" a="1"/>
  <c r="H50" i="109" s="1"/>
  <c r="G50" i="109" a="1"/>
  <c r="G50" i="109" s="1"/>
  <c r="H48" i="109" a="1"/>
  <c r="H48" i="109" s="1"/>
  <c r="G48" i="109" a="1"/>
  <c r="G48" i="109" s="1"/>
  <c r="H47" i="109" a="1"/>
  <c r="H47" i="109" s="1"/>
  <c r="G47" i="109" a="1"/>
  <c r="G47" i="109" s="1"/>
  <c r="H46" i="109" a="1"/>
  <c r="H46" i="109" s="1"/>
  <c r="G46" i="109" a="1"/>
  <c r="G46" i="109" s="1"/>
  <c r="H45" i="109" a="1"/>
  <c r="H45" i="109" s="1"/>
  <c r="G45" i="109" a="1"/>
  <c r="G45" i="109" s="1"/>
  <c r="H44" i="109" a="1"/>
  <c r="H44" i="109" s="1"/>
  <c r="G44" i="109" a="1"/>
  <c r="G44" i="109" s="1"/>
  <c r="H42" i="109" a="1"/>
  <c r="H42" i="109" s="1"/>
  <c r="G42" i="109" a="1"/>
  <c r="G42" i="109" s="1"/>
  <c r="H41" i="109" a="1"/>
  <c r="H41" i="109" s="1"/>
  <c r="G41" i="109" a="1"/>
  <c r="G41" i="109" s="1"/>
  <c r="H40" i="109" a="1"/>
  <c r="H40" i="109" s="1"/>
  <c r="G40" i="109" a="1"/>
  <c r="G40" i="109" s="1"/>
  <c r="H39" i="109" a="1"/>
  <c r="H39" i="109" s="1"/>
  <c r="G39" i="109" a="1"/>
  <c r="G39" i="109" s="1"/>
  <c r="H38" i="109" a="1"/>
  <c r="H38" i="109" s="1"/>
  <c r="G38" i="109" a="1"/>
  <c r="G38" i="109" s="1"/>
  <c r="H37" i="109" a="1"/>
  <c r="H37" i="109" s="1"/>
  <c r="G37" i="109" a="1"/>
  <c r="G37" i="109" s="1"/>
  <c r="H36" i="109" a="1"/>
  <c r="H36" i="109" s="1"/>
  <c r="G36" i="109" a="1"/>
  <c r="G36" i="109" s="1"/>
  <c r="H35" i="109" a="1"/>
  <c r="H35" i="109" s="1"/>
  <c r="G35" i="109" a="1"/>
  <c r="G35" i="109" s="1"/>
  <c r="H34" i="109" a="1"/>
  <c r="H34" i="109" s="1"/>
  <c r="G34" i="109" a="1"/>
  <c r="G34" i="109" s="1"/>
  <c r="H33" i="109" a="1"/>
  <c r="H33" i="109" s="1"/>
  <c r="G33" i="109" a="1"/>
  <c r="G33" i="109" s="1"/>
  <c r="H31" i="109" a="1"/>
  <c r="H31" i="109" s="1"/>
  <c r="G31" i="109" a="1"/>
  <c r="G31" i="109" s="1"/>
  <c r="H30" i="109" a="1"/>
  <c r="H30" i="109" s="1"/>
  <c r="G30" i="109" a="1"/>
  <c r="G30" i="109" s="1"/>
  <c r="H29" i="109" a="1"/>
  <c r="H29" i="109" s="1"/>
  <c r="G29" i="109" a="1"/>
  <c r="G29" i="109" s="1"/>
  <c r="H28" i="109" a="1"/>
  <c r="H28" i="109" s="1"/>
  <c r="G28" i="109" a="1"/>
  <c r="G28" i="109" s="1"/>
  <c r="H27" i="109" a="1"/>
  <c r="H27" i="109" s="1"/>
  <c r="G27" i="109" a="1"/>
  <c r="G27" i="109" s="1"/>
  <c r="H26" i="109" a="1"/>
  <c r="H26" i="109" s="1"/>
  <c r="G26" i="109" a="1"/>
  <c r="G26" i="109" s="1"/>
  <c r="H25" i="109" a="1"/>
  <c r="H25" i="109" s="1"/>
  <c r="G25" i="109" a="1"/>
  <c r="G25" i="109" s="1"/>
  <c r="H24" i="109" a="1"/>
  <c r="H24" i="109" s="1"/>
  <c r="G24" i="109" a="1"/>
  <c r="G24" i="109" s="1"/>
  <c r="H23" i="109" a="1"/>
  <c r="H23" i="109" s="1"/>
  <c r="G23" i="109" a="1"/>
  <c r="G23" i="109" s="1"/>
  <c r="H22" i="109" a="1"/>
  <c r="H22" i="109" s="1"/>
  <c r="G22" i="109" a="1"/>
  <c r="G22" i="109" s="1"/>
  <c r="H21" i="109" a="1"/>
  <c r="H21" i="109" s="1"/>
  <c r="G21" i="109" a="1"/>
  <c r="G21" i="109" s="1"/>
  <c r="E21" i="109" a="1"/>
  <c r="E21" i="109" s="1"/>
  <c r="D21" i="109" a="1"/>
  <c r="D21" i="109" s="1"/>
  <c r="M40" i="106" a="1"/>
  <c r="M40" i="106" s="1"/>
  <c r="L40" i="106" a="1"/>
  <c r="L40" i="106" s="1"/>
  <c r="J40" i="106"/>
  <c r="I40" i="106"/>
  <c r="H40" i="106"/>
  <c r="G40" i="106"/>
  <c r="F40" i="106"/>
  <c r="E40" i="106"/>
  <c r="M39" i="106" a="1"/>
  <c r="M39" i="106" s="1"/>
  <c r="L39" i="106" a="1"/>
  <c r="L39" i="106" s="1"/>
  <c r="J39" i="106"/>
  <c r="I39" i="106"/>
  <c r="H39" i="106"/>
  <c r="G39" i="106"/>
  <c r="F39" i="106"/>
  <c r="E39" i="106"/>
  <c r="M38" i="106" a="1"/>
  <c r="M38" i="106" s="1"/>
  <c r="L38" i="106" a="1"/>
  <c r="L38" i="106" s="1"/>
  <c r="K38" i="106"/>
  <c r="J38" i="106"/>
  <c r="I38" i="106"/>
  <c r="H38" i="106"/>
  <c r="G38" i="106"/>
  <c r="F38" i="106"/>
  <c r="E38" i="106"/>
  <c r="M37" i="106" a="1"/>
  <c r="M37" i="106" s="1"/>
  <c r="L37" i="106" a="1"/>
  <c r="L37" i="106" s="1"/>
  <c r="K37" i="106"/>
  <c r="J37" i="106"/>
  <c r="I37" i="106"/>
  <c r="H37" i="106"/>
  <c r="G37" i="106"/>
  <c r="F37" i="106"/>
  <c r="E37" i="106"/>
  <c r="M36" i="106" a="1"/>
  <c r="M36" i="106" s="1"/>
  <c r="L36" i="106" a="1"/>
  <c r="L36" i="106" s="1"/>
  <c r="K36" i="106"/>
  <c r="J36" i="106"/>
  <c r="I36" i="106"/>
  <c r="H36" i="106"/>
  <c r="G36" i="106"/>
  <c r="F36" i="106"/>
  <c r="E36" i="106"/>
  <c r="M35" i="106" a="1"/>
  <c r="M35" i="106" s="1"/>
  <c r="L35" i="106" a="1"/>
  <c r="L35" i="106" s="1"/>
  <c r="K35" i="106"/>
  <c r="J35" i="106"/>
  <c r="I35" i="106"/>
  <c r="H35" i="106"/>
  <c r="G35" i="106"/>
  <c r="F35" i="106"/>
  <c r="E35" i="106"/>
  <c r="M34" i="106" a="1"/>
  <c r="M34" i="106" s="1"/>
  <c r="L34" i="106" a="1"/>
  <c r="L34" i="106" s="1"/>
  <c r="K34" i="106"/>
  <c r="J34" i="106"/>
  <c r="I34" i="106"/>
  <c r="H34" i="106"/>
  <c r="G34" i="106"/>
  <c r="F34" i="106"/>
  <c r="E34" i="106"/>
  <c r="M33" i="106" a="1"/>
  <c r="M33" i="106" s="1"/>
  <c r="L33" i="106" a="1"/>
  <c r="L33" i="106" s="1"/>
  <c r="K33" i="106"/>
  <c r="J33" i="106"/>
  <c r="I33" i="106"/>
  <c r="H33" i="106"/>
  <c r="G33" i="106"/>
  <c r="F33" i="106"/>
  <c r="E33" i="106"/>
  <c r="M32" i="106" a="1"/>
  <c r="M32" i="106" s="1"/>
  <c r="L32" i="106" a="1"/>
  <c r="L32" i="106" s="1"/>
  <c r="K32" i="106"/>
  <c r="J32" i="106"/>
  <c r="I32" i="106"/>
  <c r="H32" i="106"/>
  <c r="G32" i="106"/>
  <c r="F32" i="106"/>
  <c r="E32" i="106"/>
  <c r="D32" i="106"/>
  <c r="M31" i="106" a="1"/>
  <c r="M31" i="106" s="1"/>
  <c r="L31" i="106" a="1"/>
  <c r="L31" i="106" s="1"/>
  <c r="K31" i="106"/>
  <c r="J31" i="106"/>
  <c r="I31" i="106"/>
  <c r="H31" i="106"/>
  <c r="G31" i="106"/>
  <c r="F31" i="106"/>
  <c r="E31" i="106"/>
  <c r="M30" i="106" a="1"/>
  <c r="M30" i="106" s="1"/>
  <c r="L30" i="106" a="1"/>
  <c r="L30" i="106" s="1"/>
  <c r="K30" i="106"/>
  <c r="J30" i="106"/>
  <c r="I30" i="106"/>
  <c r="H30" i="106"/>
  <c r="G30" i="106"/>
  <c r="F30" i="106"/>
  <c r="E30" i="106"/>
  <c r="M29" i="106" a="1"/>
  <c r="M29" i="106" s="1"/>
  <c r="L29" i="106" a="1"/>
  <c r="L29" i="106" s="1"/>
  <c r="K29" i="106"/>
  <c r="J29" i="106"/>
  <c r="I29" i="106"/>
  <c r="H29" i="106"/>
  <c r="G29" i="106"/>
  <c r="F29" i="106"/>
  <c r="E29" i="106"/>
  <c r="M28" i="106" a="1"/>
  <c r="M28" i="106" s="1"/>
  <c r="L28" i="106" a="1"/>
  <c r="L28" i="106" s="1"/>
  <c r="K28" i="106"/>
  <c r="J28" i="106"/>
  <c r="I28" i="106"/>
  <c r="H28" i="106"/>
  <c r="G28" i="106"/>
  <c r="F28" i="106"/>
  <c r="E28" i="106"/>
  <c r="M27" i="106" a="1"/>
  <c r="M27" i="106" s="1"/>
  <c r="L27" i="106" a="1"/>
  <c r="L27" i="106" s="1"/>
  <c r="K27" i="106"/>
  <c r="J27" i="106"/>
  <c r="I27" i="106"/>
  <c r="H27" i="106"/>
  <c r="G27" i="106"/>
  <c r="F27" i="106"/>
  <c r="E27" i="106"/>
  <c r="M26" i="106" a="1"/>
  <c r="M26" i="106" s="1"/>
  <c r="L26" i="106" a="1"/>
  <c r="L26" i="106" s="1"/>
  <c r="K26" i="106"/>
  <c r="J26" i="106"/>
  <c r="I26" i="106"/>
  <c r="H26" i="106"/>
  <c r="G26" i="106"/>
  <c r="F26" i="106"/>
  <c r="E26" i="106"/>
  <c r="M25" i="106" a="1"/>
  <c r="M25" i="106" s="1"/>
  <c r="L25" i="106" a="1"/>
  <c r="L25" i="106" s="1"/>
  <c r="K25" i="106"/>
  <c r="J25" i="106"/>
  <c r="I25" i="106"/>
  <c r="H25" i="106"/>
  <c r="G25" i="106"/>
  <c r="F25" i="106"/>
  <c r="E25" i="106"/>
  <c r="D25" i="106"/>
  <c r="M39" i="105" a="1"/>
  <c r="M39" i="105" s="1"/>
  <c r="L39" i="105" a="1"/>
  <c r="L39" i="105" s="1"/>
  <c r="K39" i="105" a="1"/>
  <c r="K39" i="105" s="1"/>
  <c r="J39" i="105" a="1"/>
  <c r="J39" i="105" s="1"/>
  <c r="I39" i="105" a="1"/>
  <c r="I39" i="105" s="1"/>
  <c r="H39" i="105" a="1"/>
  <c r="H39" i="105" s="1"/>
  <c r="G39" i="105" a="1"/>
  <c r="G39" i="105" s="1"/>
  <c r="F39" i="105"/>
  <c r="E39" i="105"/>
  <c r="M38" i="105" a="1"/>
  <c r="M38" i="105" s="1"/>
  <c r="L38" i="105" a="1"/>
  <c r="L38" i="105" s="1"/>
  <c r="K38" i="105" a="1"/>
  <c r="K38" i="105" s="1"/>
  <c r="J38" i="105" a="1"/>
  <c r="J38" i="105" s="1"/>
  <c r="I38" i="105" a="1"/>
  <c r="I38" i="105" s="1"/>
  <c r="H38" i="105" a="1"/>
  <c r="H38" i="105" s="1"/>
  <c r="G38" i="105" a="1"/>
  <c r="G38" i="105" s="1"/>
  <c r="F38" i="105"/>
  <c r="E38" i="105"/>
  <c r="M37" i="105" a="1"/>
  <c r="M37" i="105" s="1"/>
  <c r="L37" i="105" a="1"/>
  <c r="L37" i="105" s="1"/>
  <c r="K37" i="105" a="1"/>
  <c r="K37" i="105" s="1"/>
  <c r="J37" i="105" a="1"/>
  <c r="J37" i="105" s="1"/>
  <c r="I37" i="105" a="1"/>
  <c r="I37" i="105" s="1"/>
  <c r="H37" i="105" a="1"/>
  <c r="H37" i="105" s="1"/>
  <c r="G37" i="105" a="1"/>
  <c r="G37" i="105" s="1"/>
  <c r="F37" i="105"/>
  <c r="E37" i="105"/>
  <c r="D37" i="105"/>
  <c r="M36" i="105" a="1"/>
  <c r="M36" i="105" s="1"/>
  <c r="L36" i="105" a="1"/>
  <c r="L36" i="105" s="1"/>
  <c r="K36" i="105" a="1"/>
  <c r="K36" i="105" s="1"/>
  <c r="J36" i="105" a="1"/>
  <c r="J36" i="105" s="1"/>
  <c r="I36" i="105" a="1"/>
  <c r="I36" i="105" s="1"/>
  <c r="H36" i="105" a="1"/>
  <c r="H36" i="105" s="1"/>
  <c r="G36" i="105" a="1"/>
  <c r="G36" i="105" s="1"/>
  <c r="F36" i="105"/>
  <c r="E36" i="105"/>
  <c r="M35" i="105" a="1"/>
  <c r="M35" i="105" s="1"/>
  <c r="L35" i="105" a="1"/>
  <c r="L35" i="105" s="1"/>
  <c r="K35" i="105" a="1"/>
  <c r="K35" i="105" s="1"/>
  <c r="J35" i="105" a="1"/>
  <c r="J35" i="105" s="1"/>
  <c r="I35" i="105" a="1"/>
  <c r="I35" i="105" s="1"/>
  <c r="H35" i="105" a="1"/>
  <c r="H35" i="105" s="1"/>
  <c r="G35" i="105" a="1"/>
  <c r="G35" i="105" s="1"/>
  <c r="F35" i="105"/>
  <c r="E35" i="105"/>
  <c r="M34" i="105" a="1"/>
  <c r="M34" i="105" s="1"/>
  <c r="L34" i="105" a="1"/>
  <c r="L34" i="105" s="1"/>
  <c r="K34" i="105" a="1"/>
  <c r="K34" i="105" s="1"/>
  <c r="J34" i="105" a="1"/>
  <c r="J34" i="105" s="1"/>
  <c r="I34" i="105" a="1"/>
  <c r="I34" i="105" s="1"/>
  <c r="H34" i="105" a="1"/>
  <c r="H34" i="105" s="1"/>
  <c r="G34" i="105" a="1"/>
  <c r="G34" i="105" s="1"/>
  <c r="F34" i="105"/>
  <c r="E34" i="105"/>
  <c r="D34" i="105"/>
  <c r="M33" i="105" a="1"/>
  <c r="M33" i="105" s="1"/>
  <c r="L33" i="105" a="1"/>
  <c r="L33" i="105" s="1"/>
  <c r="K33" i="105" a="1"/>
  <c r="K33" i="105" s="1"/>
  <c r="J33" i="105" a="1"/>
  <c r="J33" i="105" s="1"/>
  <c r="I33" i="105" a="1"/>
  <c r="I33" i="105" s="1"/>
  <c r="H33" i="105" a="1"/>
  <c r="H33" i="105" s="1"/>
  <c r="G33" i="105" a="1"/>
  <c r="G33" i="105" s="1"/>
  <c r="F33" i="105"/>
  <c r="E33" i="105"/>
  <c r="D33" i="105"/>
  <c r="M32" i="105" a="1"/>
  <c r="M32" i="105" s="1"/>
  <c r="L32" i="105" a="1"/>
  <c r="L32" i="105" s="1"/>
  <c r="K32" i="105" a="1"/>
  <c r="K32" i="105" s="1"/>
  <c r="J32" i="105" a="1"/>
  <c r="J32" i="105" s="1"/>
  <c r="I32" i="105" a="1"/>
  <c r="I32" i="105" s="1"/>
  <c r="H32" i="105" a="1"/>
  <c r="H32" i="105" s="1"/>
  <c r="G32" i="105" a="1"/>
  <c r="G32" i="105" s="1"/>
  <c r="F32" i="105"/>
  <c r="E32" i="105"/>
  <c r="M31" i="105" a="1"/>
  <c r="M31" i="105" s="1"/>
  <c r="L31" i="105" a="1"/>
  <c r="L31" i="105" s="1"/>
  <c r="K31" i="105" a="1"/>
  <c r="K31" i="105" s="1"/>
  <c r="J31" i="105" a="1"/>
  <c r="J31" i="105" s="1"/>
  <c r="I31" i="105" a="1"/>
  <c r="I31" i="105" s="1"/>
  <c r="H31" i="105" a="1"/>
  <c r="H31" i="105" s="1"/>
  <c r="G31" i="105" a="1"/>
  <c r="G31" i="105" s="1"/>
  <c r="F31" i="105"/>
  <c r="E31" i="105"/>
  <c r="M30" i="105" a="1"/>
  <c r="M30" i="105" s="1"/>
  <c r="L30" i="105" a="1"/>
  <c r="L30" i="105" s="1"/>
  <c r="K30" i="105" a="1"/>
  <c r="K30" i="105" s="1"/>
  <c r="J30" i="105" a="1"/>
  <c r="J30" i="105" s="1"/>
  <c r="I30" i="105" a="1"/>
  <c r="I30" i="105" s="1"/>
  <c r="H30" i="105" a="1"/>
  <c r="H30" i="105" s="1"/>
  <c r="G30" i="105" a="1"/>
  <c r="G30" i="105" s="1"/>
  <c r="F30" i="105"/>
  <c r="E30" i="105"/>
  <c r="M29" i="105" a="1"/>
  <c r="M29" i="105" s="1"/>
  <c r="L29" i="105" a="1"/>
  <c r="L29" i="105" s="1"/>
  <c r="K29" i="105" a="1"/>
  <c r="K29" i="105" s="1"/>
  <c r="J29" i="105" a="1"/>
  <c r="J29" i="105" s="1"/>
  <c r="I29" i="105" a="1"/>
  <c r="I29" i="105" s="1"/>
  <c r="H29" i="105" a="1"/>
  <c r="H29" i="105" s="1"/>
  <c r="G29" i="105" a="1"/>
  <c r="G29" i="105" s="1"/>
  <c r="F29" i="105"/>
  <c r="E29" i="105"/>
  <c r="M28" i="105" a="1"/>
  <c r="M28" i="105" s="1"/>
  <c r="L28" i="105" a="1"/>
  <c r="L28" i="105" s="1"/>
  <c r="K28" i="105" a="1"/>
  <c r="K28" i="105" s="1"/>
  <c r="J28" i="105" a="1"/>
  <c r="J28" i="105" s="1"/>
  <c r="I28" i="105" a="1"/>
  <c r="I28" i="105" s="1"/>
  <c r="H28" i="105" a="1"/>
  <c r="H28" i="105" s="1"/>
  <c r="G28" i="105" a="1"/>
  <c r="G28" i="105" s="1"/>
  <c r="F28" i="105"/>
  <c r="E28" i="105"/>
  <c r="M27" i="105" a="1"/>
  <c r="M27" i="105" s="1"/>
  <c r="L27" i="105" a="1"/>
  <c r="L27" i="105" s="1"/>
  <c r="K27" i="105" a="1"/>
  <c r="K27" i="105" s="1"/>
  <c r="J27" i="105" a="1"/>
  <c r="J27" i="105" s="1"/>
  <c r="I27" i="105" a="1"/>
  <c r="I27" i="105" s="1"/>
  <c r="H27" i="105" a="1"/>
  <c r="H27" i="105" s="1"/>
  <c r="G27" i="105" a="1"/>
  <c r="G27" i="105" s="1"/>
  <c r="F27" i="105"/>
  <c r="E27" i="105"/>
  <c r="M26" i="105" a="1"/>
  <c r="M26" i="105" s="1"/>
  <c r="L26" i="105" a="1"/>
  <c r="L26" i="105" s="1"/>
  <c r="K26" i="105" a="1"/>
  <c r="K26" i="105" s="1"/>
  <c r="J26" i="105" a="1"/>
  <c r="J26" i="105" s="1"/>
  <c r="I26" i="105" a="1"/>
  <c r="I26" i="105" s="1"/>
  <c r="H26" i="105" a="1"/>
  <c r="H26" i="105" s="1"/>
  <c r="G26" i="105" a="1"/>
  <c r="G26" i="105" s="1"/>
  <c r="F26" i="105"/>
  <c r="E26" i="105"/>
  <c r="M25" i="105" a="1"/>
  <c r="M25" i="105" s="1"/>
  <c r="L25" i="105" a="1"/>
  <c r="L25" i="105" s="1"/>
  <c r="K25" i="105" a="1"/>
  <c r="K25" i="105" s="1"/>
  <c r="J25" i="105" a="1"/>
  <c r="J25" i="105" s="1"/>
  <c r="I25" i="105" a="1"/>
  <c r="I25" i="105" s="1"/>
  <c r="H25" i="105" a="1"/>
  <c r="H25" i="105" s="1"/>
  <c r="G25" i="105" a="1"/>
  <c r="G25" i="105" s="1"/>
  <c r="F25" i="105"/>
  <c r="E25" i="105"/>
  <c r="D25" i="105"/>
  <c r="Q51" i="113"/>
  <c r="G51" i="113"/>
  <c r="J38" i="113"/>
  <c r="J37" i="113"/>
  <c r="J15" i="113"/>
  <c r="Q43" i="112"/>
  <c r="G43" i="112"/>
  <c r="J35" i="112"/>
  <c r="J18" i="112" a="1"/>
  <c r="J18" i="112" s="1"/>
  <c r="J17" i="112" a="1"/>
  <c r="J17" i="112" s="1"/>
  <c r="J16" i="112" a="1"/>
  <c r="J16" i="112" s="1"/>
  <c r="J15" i="112" a="1"/>
  <c r="J15" i="112" s="1"/>
  <c r="J14" i="112" a="1"/>
  <c r="J14" i="112" s="1"/>
  <c r="G97" i="99"/>
  <c r="J92" i="99"/>
  <c r="E75" i="99"/>
  <c r="D75" i="99"/>
  <c r="E74" i="99"/>
  <c r="D74" i="99"/>
  <c r="E73" i="99"/>
  <c r="D73" i="99"/>
  <c r="E72" i="99"/>
  <c r="D72" i="99"/>
  <c r="E71" i="99"/>
  <c r="D71" i="99"/>
  <c r="E70" i="99"/>
  <c r="D70" i="99"/>
  <c r="E69" i="99"/>
  <c r="D69" i="99"/>
  <c r="E68" i="99"/>
  <c r="D68" i="99"/>
  <c r="D23" i="99" a="1"/>
  <c r="D23" i="99" s="1"/>
  <c r="G149" i="98"/>
  <c r="D134" i="98" a="1"/>
  <c r="D134" i="98" s="1"/>
  <c r="I126" i="98"/>
  <c r="E112" i="98"/>
  <c r="E111" i="98"/>
  <c r="E110" i="98"/>
  <c r="E109" i="98"/>
  <c r="E108" i="98"/>
  <c r="E107" i="98"/>
  <c r="E106" i="98"/>
  <c r="E105" i="98"/>
  <c r="D102" i="98" a="1"/>
  <c r="D102" i="98" s="1"/>
  <c r="G82" i="98"/>
  <c r="D59" i="98" a="1"/>
  <c r="D59" i="98" s="1"/>
  <c r="J51" i="98"/>
  <c r="G37" i="98" a="1"/>
  <c r="G37" i="98" s="1"/>
  <c r="F37" i="98" a="1"/>
  <c r="F37" i="98" s="1"/>
  <c r="G36" i="98" a="1"/>
  <c r="G36" i="98" s="1"/>
  <c r="F36" i="98" a="1"/>
  <c r="F36" i="98" s="1"/>
  <c r="G35" i="98" a="1"/>
  <c r="G35" i="98" s="1"/>
  <c r="F35" i="98" a="1"/>
  <c r="F35" i="98" s="1"/>
  <c r="G34" i="98" a="1"/>
  <c r="G34" i="98" s="1"/>
  <c r="F34" i="98" a="1"/>
  <c r="F34" i="98" s="1"/>
  <c r="G33" i="98" a="1"/>
  <c r="G33" i="98" s="1"/>
  <c r="F33" i="98" a="1"/>
  <c r="F33" i="98" s="1"/>
  <c r="G32" i="98" a="1"/>
  <c r="G32" i="98" s="1"/>
  <c r="F32" i="98" a="1"/>
  <c r="F32" i="98" s="1"/>
  <c r="G31" i="98" a="1"/>
  <c r="G31" i="98" s="1"/>
  <c r="F31" i="98" a="1"/>
  <c r="F31" i="98" s="1"/>
  <c r="G30" i="98" a="1"/>
  <c r="G30" i="98" s="1"/>
  <c r="F30" i="98" a="1"/>
  <c r="F30" i="98" s="1"/>
  <c r="G29" i="98" a="1"/>
  <c r="G29" i="98" s="1"/>
  <c r="F29" i="98" a="1"/>
  <c r="F29" i="98" s="1"/>
  <c r="G28" i="98" a="1"/>
  <c r="G28" i="98" s="1"/>
  <c r="F28" i="98" a="1"/>
  <c r="F28" i="98" s="1"/>
  <c r="G27" i="98" a="1"/>
  <c r="G27" i="98" s="1"/>
  <c r="F27" i="98" a="1"/>
  <c r="F27" i="98" s="1"/>
  <c r="G26" i="98" a="1"/>
  <c r="G26" i="98" s="1"/>
  <c r="F26" i="98" a="1"/>
  <c r="F26" i="98" s="1"/>
  <c r="G25" i="98" a="1"/>
  <c r="G25" i="98" s="1"/>
  <c r="F25" i="98" a="1"/>
  <c r="F25" i="98" s="1"/>
  <c r="G24" i="98" a="1"/>
  <c r="G24" i="98" s="1"/>
  <c r="F24" i="98" a="1"/>
  <c r="F24" i="98" s="1"/>
  <c r="G23" i="98" a="1"/>
  <c r="G23" i="98" s="1"/>
  <c r="F23" i="98" a="1"/>
  <c r="F23" i="98" s="1"/>
  <c r="G22" i="98" a="1"/>
  <c r="G22" i="98" s="1"/>
  <c r="F22" i="98" a="1"/>
  <c r="F22" i="98" s="1"/>
  <c r="G21" i="98" a="1"/>
  <c r="G21" i="98" s="1"/>
  <c r="F21" i="98" a="1"/>
  <c r="F21" i="98" s="1"/>
  <c r="G20" i="98" a="1"/>
  <c r="G20" i="98" s="1"/>
  <c r="F20" i="98" a="1"/>
  <c r="F20" i="98" s="1"/>
  <c r="G19" i="98" a="1"/>
  <c r="G19" i="98" s="1"/>
  <c r="F19" i="98" a="1"/>
  <c r="F19" i="98" s="1"/>
  <c r="D19" i="98" a="1"/>
  <c r="D19" i="98" s="1"/>
  <c r="G25" i="97" a="1"/>
  <c r="G25" i="97" s="1"/>
  <c r="F25" i="97" a="1"/>
  <c r="F25" i="97" s="1"/>
  <c r="D25" i="97" a="1"/>
  <c r="D25" i="97" s="1"/>
  <c r="I20" i="97"/>
  <c r="I19" i="97"/>
  <c r="I18" i="97"/>
  <c r="I16" i="97"/>
  <c r="I15" i="97"/>
  <c r="G53" i="96"/>
  <c r="K46" i="96"/>
  <c r="H20" i="96" a="1"/>
  <c r="H20" i="96" s="1"/>
  <c r="E20" i="96" a="1"/>
  <c r="E20" i="96" s="1"/>
  <c r="D20" i="96" a="1"/>
  <c r="D20" i="96" s="1"/>
  <c r="D58" i="95" a="1"/>
  <c r="D58" i="95" s="1"/>
  <c r="I51" i="95"/>
  <c r="F37" i="95" a="1"/>
  <c r="F37" i="95" s="1"/>
  <c r="F36" i="95" a="1"/>
  <c r="F36" i="95" s="1"/>
  <c r="F35" i="95" a="1"/>
  <c r="F35" i="95" s="1"/>
  <c r="F34" i="95" a="1"/>
  <c r="F34" i="95" s="1"/>
  <c r="F33" i="95" a="1"/>
  <c r="F33" i="95" s="1"/>
  <c r="F32" i="95" a="1"/>
  <c r="F32" i="95" s="1"/>
  <c r="F31" i="95" a="1"/>
  <c r="F31" i="95" s="1"/>
  <c r="F30" i="95" a="1"/>
  <c r="F30" i="95" s="1"/>
  <c r="F29" i="95" a="1"/>
  <c r="F29" i="95" s="1"/>
  <c r="F28" i="95" a="1"/>
  <c r="F28" i="95" s="1"/>
  <c r="F27" i="95" a="1"/>
  <c r="F27" i="95" s="1"/>
  <c r="F26" i="95" a="1"/>
  <c r="F26" i="95" s="1"/>
  <c r="F25" i="95" a="1"/>
  <c r="F25" i="95" s="1"/>
  <c r="F24" i="95" a="1"/>
  <c r="F24" i="95" s="1"/>
  <c r="F23" i="95" a="1"/>
  <c r="F23" i="95" s="1"/>
  <c r="F22" i="95" a="1"/>
  <c r="F22" i="95" s="1"/>
  <c r="F21" i="95" a="1"/>
  <c r="F21" i="95" s="1"/>
  <c r="F20" i="95" a="1"/>
  <c r="F20" i="95" s="1"/>
  <c r="F19" i="95" a="1"/>
  <c r="F19" i="95" s="1"/>
  <c r="D19" i="95" a="1"/>
  <c r="D19" i="95" s="1"/>
  <c r="P113" i="94"/>
  <c r="S94" i="94"/>
  <c r="G83" i="94"/>
  <c r="D60" i="94" a="1"/>
  <c r="D60" i="94" s="1"/>
  <c r="I51" i="94"/>
  <c r="F37" i="94" a="1"/>
  <c r="F37" i="94" s="1"/>
  <c r="F36" i="94" a="1"/>
  <c r="F36" i="94" s="1"/>
  <c r="F35" i="94" a="1"/>
  <c r="F35" i="94" s="1"/>
  <c r="F34" i="94" a="1"/>
  <c r="F34" i="94" s="1"/>
  <c r="F33" i="94" a="1"/>
  <c r="F33" i="94" s="1"/>
  <c r="F32" i="94" a="1"/>
  <c r="F32" i="94" s="1"/>
  <c r="F31" i="94" a="1"/>
  <c r="F31" i="94" s="1"/>
  <c r="F30" i="94" a="1"/>
  <c r="F30" i="94" s="1"/>
  <c r="F29" i="94" a="1"/>
  <c r="F29" i="94" s="1"/>
  <c r="F28" i="94" a="1"/>
  <c r="F28" i="94" s="1"/>
  <c r="F27" i="94" a="1"/>
  <c r="F27" i="94" s="1"/>
  <c r="F26" i="94" a="1"/>
  <c r="F26" i="94" s="1"/>
  <c r="F25" i="94" a="1"/>
  <c r="F25" i="94" s="1"/>
  <c r="F24" i="94" a="1"/>
  <c r="F24" i="94" s="1"/>
  <c r="F23" i="94" a="1"/>
  <c r="F23" i="94" s="1"/>
  <c r="F22" i="94" a="1"/>
  <c r="F22" i="94" s="1"/>
  <c r="O21" i="94" a="1"/>
  <c r="O21" i="94" s="1"/>
  <c r="N21" i="94" a="1"/>
  <c r="N21" i="94" s="1"/>
  <c r="F21" i="94" a="1"/>
  <c r="F21" i="94" s="1"/>
  <c r="F20" i="94" a="1"/>
  <c r="F20" i="94" s="1"/>
  <c r="F19" i="94" a="1"/>
  <c r="F19" i="94" s="1"/>
  <c r="D19" i="94" a="1"/>
  <c r="D19" i="94" s="1"/>
  <c r="O11" i="94" a="1"/>
  <c r="O11" i="94" s="1"/>
  <c r="N11" i="94" a="1"/>
  <c r="N11" i="94" s="1"/>
  <c r="R50" i="90"/>
  <c r="G50" i="90"/>
  <c r="J45" i="90"/>
  <c r="P28" i="90"/>
  <c r="E28" i="90"/>
  <c r="P23" i="90"/>
  <c r="E23" i="90"/>
  <c r="R48" i="89"/>
  <c r="G48" i="89"/>
  <c r="I40" i="89"/>
  <c r="P24" i="89"/>
  <c r="E24" i="89"/>
  <c r="P19" i="89"/>
  <c r="E19" i="89"/>
  <c r="R56" i="88"/>
  <c r="G56" i="88"/>
  <c r="P51" i="88"/>
  <c r="E51" i="88"/>
  <c r="J45" i="88"/>
  <c r="P31" i="88"/>
  <c r="E31" i="88"/>
  <c r="P25" i="88"/>
  <c r="E25" i="88"/>
  <c r="F35" i="87"/>
  <c r="F34" i="87"/>
  <c r="F33" i="87"/>
  <c r="F32" i="87"/>
  <c r="F31" i="87"/>
  <c r="E31" i="87" a="1"/>
  <c r="E31" i="87" s="1"/>
  <c r="D31" i="87" a="1"/>
  <c r="D31" i="87" s="1"/>
  <c r="E22" i="87" a="1"/>
  <c r="E22" i="87" s="1"/>
  <c r="D22" i="87" a="1"/>
  <c r="D22" i="87" s="1"/>
  <c r="R55" i="86"/>
  <c r="G55" i="86"/>
  <c r="I44" i="86"/>
  <c r="R71" i="85"/>
  <c r="G71" i="85"/>
  <c r="I63" i="85"/>
  <c r="E31" i="85" a="1"/>
  <c r="E31" i="85" s="1"/>
  <c r="D31" i="85" a="1"/>
  <c r="D31" i="85" s="1"/>
  <c r="Q290" i="84"/>
  <c r="G290" i="84"/>
  <c r="E269" i="84" a="1"/>
  <c r="E269" i="84" s="1"/>
  <c r="D269" i="84" a="1"/>
  <c r="D269" i="84" s="1"/>
  <c r="I264" i="84"/>
  <c r="H198" i="84"/>
  <c r="F198" i="84"/>
  <c r="I60" i="84"/>
  <c r="H55" i="84"/>
  <c r="G55" i="84"/>
  <c r="F55" i="84"/>
  <c r="E55" i="84"/>
  <c r="D55" i="84"/>
  <c r="S50" i="84"/>
  <c r="H24" i="84" a="1"/>
  <c r="H24" i="84" s="1"/>
  <c r="G24" i="84" a="1"/>
  <c r="G24" i="84" s="1"/>
  <c r="F24" i="84" a="1"/>
  <c r="F24" i="84" s="1"/>
  <c r="E24" i="84" a="1"/>
  <c r="E24" i="84" s="1"/>
  <c r="D24" i="84" a="1"/>
  <c r="D24" i="84" s="1"/>
  <c r="R303" i="83"/>
  <c r="G303" i="83"/>
  <c r="P290" i="83"/>
  <c r="E290" i="83"/>
  <c r="H280" i="83"/>
  <c r="F280" i="83"/>
  <c r="P237" i="83"/>
  <c r="E237" i="83"/>
  <c r="O232" i="83"/>
  <c r="D232" i="83"/>
  <c r="O231" i="83"/>
  <c r="D231" i="83"/>
  <c r="O230" i="83"/>
  <c r="D230" i="83"/>
  <c r="O229" i="83"/>
  <c r="D229" i="83"/>
  <c r="O228" i="83"/>
  <c r="D228" i="83"/>
  <c r="I223" i="83"/>
  <c r="E231" i="83" s="1" a="1"/>
  <c r="E231" i="83" s="1"/>
  <c r="P173" i="83"/>
  <c r="E173" i="83"/>
  <c r="P162" i="83"/>
  <c r="E162" i="83"/>
  <c r="P151" i="83"/>
  <c r="E151" i="83"/>
  <c r="H109" i="83"/>
  <c r="G109" i="83"/>
  <c r="F109" i="83"/>
  <c r="E109" i="83"/>
  <c r="D109" i="83"/>
  <c r="P185" i="92"/>
  <c r="G185" i="92"/>
  <c r="E175" i="92"/>
  <c r="D175" i="92"/>
  <c r="Q170" i="92"/>
  <c r="P170" i="92"/>
  <c r="O170" i="92"/>
  <c r="N170" i="92"/>
  <c r="M170" i="92"/>
  <c r="H170" i="92"/>
  <c r="G170" i="92"/>
  <c r="F170" i="92"/>
  <c r="E170" i="92"/>
  <c r="D170" i="92"/>
  <c r="Q165" i="92"/>
  <c r="P165" i="92"/>
  <c r="O165" i="92"/>
  <c r="N165" i="92"/>
  <c r="M165" i="92"/>
  <c r="H165" i="92"/>
  <c r="G165" i="92"/>
  <c r="F165" i="92"/>
  <c r="E165" i="92"/>
  <c r="D165" i="92"/>
  <c r="H160" i="92"/>
  <c r="G160" i="92"/>
  <c r="F160" i="92"/>
  <c r="E160" i="92"/>
  <c r="D160" i="92"/>
  <c r="H110" i="92"/>
  <c r="G110" i="92"/>
  <c r="F110" i="92"/>
  <c r="E110" i="92"/>
  <c r="D110" i="92"/>
  <c r="Q105" i="92"/>
  <c r="P105" i="92"/>
  <c r="O105" i="92"/>
  <c r="N105" i="92"/>
  <c r="M105" i="92"/>
  <c r="H105" i="92"/>
  <c r="G105" i="92"/>
  <c r="F105" i="92"/>
  <c r="E105" i="92"/>
  <c r="D105" i="92"/>
  <c r="Q100" i="92"/>
  <c r="P100" i="92"/>
  <c r="O100" i="92"/>
  <c r="N100" i="92"/>
  <c r="M100" i="92"/>
  <c r="H100" i="92"/>
  <c r="G100" i="92"/>
  <c r="F100" i="92"/>
  <c r="E100" i="92"/>
  <c r="D100" i="92"/>
  <c r="D48" i="118"/>
  <c r="D47" i="118"/>
  <c r="D12" i="118" a="1"/>
  <c r="D12" i="118" s="1"/>
  <c r="D7" i="118" a="1"/>
  <c r="D7" i="118" s="1"/>
  <c r="D27" i="117"/>
  <c r="D26" i="117"/>
  <c r="D25" i="117"/>
  <c r="D24" i="117"/>
  <c r="D23" i="117"/>
  <c r="J21" i="104" a="1"/>
  <c r="J21" i="104" s="1"/>
  <c r="G21" i="104" a="1"/>
  <c r="G21" i="104" s="1"/>
  <c r="I21" i="104" s="1"/>
  <c r="J20" i="104" a="1"/>
  <c r="J20" i="104" s="1"/>
  <c r="G20" i="104" a="1"/>
  <c r="G20" i="104" s="1"/>
  <c r="I20" i="104" s="1"/>
  <c r="J19" i="104" a="1"/>
  <c r="J19" i="104" s="1"/>
  <c r="G19" i="104" a="1"/>
  <c r="G19" i="104" s="1"/>
  <c r="I19" i="104" s="1"/>
  <c r="J18" i="104" a="1"/>
  <c r="J18" i="104" s="1"/>
  <c r="G18" i="104" a="1"/>
  <c r="G18" i="104" s="1"/>
  <c r="I18" i="104" s="1"/>
  <c r="J17" i="104" a="1"/>
  <c r="J17" i="104" s="1"/>
  <c r="G17" i="104" a="1"/>
  <c r="G17" i="104" s="1"/>
  <c r="P34" i="93"/>
  <c r="P33" i="93"/>
  <c r="P32" i="93"/>
  <c r="P31" i="93"/>
  <c r="P30" i="93"/>
  <c r="P29" i="93"/>
  <c r="P28" i="93"/>
  <c r="P27" i="93"/>
  <c r="P26" i="93"/>
  <c r="P25" i="93"/>
  <c r="Z21" i="93"/>
  <c r="Y21" i="93"/>
  <c r="W21" i="93" a="1"/>
  <c r="W21" i="93" s="1"/>
  <c r="V21" i="93"/>
  <c r="U21" i="93" a="1"/>
  <c r="U21" i="93" s="1"/>
  <c r="T21" i="93" a="1"/>
  <c r="T21" i="93" s="1"/>
  <c r="S21" i="93" a="1"/>
  <c r="S21" i="93" s="1"/>
  <c r="R21" i="93" a="1"/>
  <c r="R21" i="93" s="1"/>
  <c r="Q21" i="93" a="1"/>
  <c r="Q21" i="93" s="1"/>
  <c r="P21" i="93" a="1"/>
  <c r="P21" i="93" s="1"/>
  <c r="O21" i="93" a="1"/>
  <c r="O21" i="93" s="1"/>
  <c r="N21" i="93" a="1"/>
  <c r="N21" i="93" s="1"/>
  <c r="M21" i="93" a="1"/>
  <c r="M21" i="93" s="1"/>
  <c r="L21" i="93" a="1"/>
  <c r="L21" i="93" s="1"/>
  <c r="K21" i="93" a="1"/>
  <c r="K21" i="93" s="1"/>
  <c r="J21" i="93" a="1"/>
  <c r="J21" i="93" s="1"/>
  <c r="H21" i="93"/>
  <c r="F21" i="93"/>
  <c r="Z20" i="93"/>
  <c r="Y20" i="93"/>
  <c r="W20" i="93" a="1"/>
  <c r="W20" i="93" s="1"/>
  <c r="V20" i="93"/>
  <c r="U20" i="93" a="1"/>
  <c r="U20" i="93" s="1"/>
  <c r="T20" i="93" a="1"/>
  <c r="T20" i="93" s="1"/>
  <c r="S20" i="93" a="1"/>
  <c r="S20" i="93" s="1"/>
  <c r="R20" i="93" a="1"/>
  <c r="R20" i="93" s="1"/>
  <c r="Q20" i="93" a="1"/>
  <c r="Q20" i="93" s="1"/>
  <c r="P20" i="93" a="1"/>
  <c r="P20" i="93" s="1"/>
  <c r="O20" i="93" a="1"/>
  <c r="O20" i="93" s="1"/>
  <c r="N20" i="93" a="1"/>
  <c r="N20" i="93" s="1"/>
  <c r="M20" i="93" a="1"/>
  <c r="M20" i="93" s="1"/>
  <c r="L20" i="93" a="1"/>
  <c r="L20" i="93" s="1"/>
  <c r="K20" i="93" a="1"/>
  <c r="K20" i="93" s="1"/>
  <c r="J20" i="93" a="1"/>
  <c r="J20" i="93" s="1"/>
  <c r="H20" i="93"/>
  <c r="F20" i="93"/>
  <c r="Z19" i="93"/>
  <c r="Y19" i="93"/>
  <c r="W19" i="93" a="1"/>
  <c r="W19" i="93" s="1"/>
  <c r="V19" i="93"/>
  <c r="U19" i="93" a="1"/>
  <c r="U19" i="93" s="1"/>
  <c r="T19" i="93" a="1"/>
  <c r="T19" i="93" s="1"/>
  <c r="S19" i="93" a="1"/>
  <c r="S19" i="93" s="1"/>
  <c r="R19" i="93" a="1"/>
  <c r="R19" i="93" s="1"/>
  <c r="Q19" i="93" a="1"/>
  <c r="Q19" i="93" s="1"/>
  <c r="P19" i="93" a="1"/>
  <c r="P19" i="93" s="1"/>
  <c r="O19" i="93" a="1"/>
  <c r="O19" i="93" s="1"/>
  <c r="N19" i="93" a="1"/>
  <c r="N19" i="93" s="1"/>
  <c r="M19" i="93" a="1"/>
  <c r="M19" i="93" s="1"/>
  <c r="L19" i="93" a="1"/>
  <c r="L19" i="93" s="1"/>
  <c r="K19" i="93" a="1"/>
  <c r="K19" i="93" s="1"/>
  <c r="J19" i="93" a="1"/>
  <c r="J19" i="93" s="1"/>
  <c r="H19" i="93"/>
  <c r="F19" i="93"/>
  <c r="Z18" i="93"/>
  <c r="Y18" i="93"/>
  <c r="W18" i="93" a="1"/>
  <c r="W18" i="93" s="1"/>
  <c r="V18" i="93"/>
  <c r="U18" i="93" a="1"/>
  <c r="U18" i="93" s="1"/>
  <c r="T18" i="93" a="1"/>
  <c r="T18" i="93" s="1"/>
  <c r="S18" i="93" a="1"/>
  <c r="S18" i="93" s="1"/>
  <c r="R18" i="93" a="1"/>
  <c r="R18" i="93" s="1"/>
  <c r="Q18" i="93" a="1"/>
  <c r="Q18" i="93" s="1"/>
  <c r="P18" i="93" a="1"/>
  <c r="P18" i="93" s="1"/>
  <c r="O18" i="93" a="1"/>
  <c r="O18" i="93" s="1"/>
  <c r="N18" i="93" a="1"/>
  <c r="N18" i="93" s="1"/>
  <c r="M18" i="93" a="1"/>
  <c r="M18" i="93" s="1"/>
  <c r="L18" i="93" a="1"/>
  <c r="L18" i="93" s="1"/>
  <c r="K18" i="93" a="1"/>
  <c r="K18" i="93" s="1"/>
  <c r="J18" i="93" a="1"/>
  <c r="J18" i="93" s="1"/>
  <c r="H18" i="93"/>
  <c r="F18" i="93"/>
  <c r="Z17" i="93"/>
  <c r="Y17" i="93"/>
  <c r="W17" i="93" a="1"/>
  <c r="W17" i="93" s="1"/>
  <c r="V17" i="93"/>
  <c r="U17" i="93" a="1"/>
  <c r="U17" i="93" s="1"/>
  <c r="T17" i="93" a="1"/>
  <c r="T17" i="93" s="1"/>
  <c r="S17" i="93" a="1"/>
  <c r="S17" i="93" s="1"/>
  <c r="R17" i="93" a="1"/>
  <c r="R17" i="93" s="1"/>
  <c r="Q17" i="93" a="1"/>
  <c r="Q17" i="93" s="1"/>
  <c r="P17" i="93" a="1"/>
  <c r="P17" i="93" s="1"/>
  <c r="O17" i="93" a="1"/>
  <c r="O17" i="93" s="1"/>
  <c r="N17" i="93" a="1"/>
  <c r="N17" i="93" s="1"/>
  <c r="M17" i="93" a="1"/>
  <c r="M17" i="93" s="1"/>
  <c r="L17" i="93" a="1"/>
  <c r="L17" i="93" s="1"/>
  <c r="K17" i="93" a="1"/>
  <c r="K17" i="93" s="1"/>
  <c r="J17" i="93" a="1"/>
  <c r="J17" i="93" s="1"/>
  <c r="H17" i="93"/>
  <c r="F17" i="93"/>
  <c r="Z16" i="93"/>
  <c r="Y16" i="93"/>
  <c r="W16" i="93" a="1"/>
  <c r="W16" i="93" s="1"/>
  <c r="V16" i="93"/>
  <c r="U16" i="93" a="1"/>
  <c r="U16" i="93" s="1"/>
  <c r="T16" i="93" a="1"/>
  <c r="T16" i="93" s="1"/>
  <c r="S16" i="93" a="1"/>
  <c r="S16" i="93" s="1"/>
  <c r="R16" i="93" a="1"/>
  <c r="R16" i="93" s="1"/>
  <c r="Q16" i="93" a="1"/>
  <c r="Q16" i="93" s="1"/>
  <c r="P16" i="93" a="1"/>
  <c r="P16" i="93" s="1"/>
  <c r="O16" i="93" a="1"/>
  <c r="O16" i="93" s="1"/>
  <c r="N16" i="93" a="1"/>
  <c r="N16" i="93" s="1"/>
  <c r="M16" i="93" a="1"/>
  <c r="M16" i="93" s="1"/>
  <c r="L16" i="93" a="1"/>
  <c r="L16" i="93" s="1"/>
  <c r="K16" i="93" a="1"/>
  <c r="K16" i="93" s="1"/>
  <c r="J16" i="93" a="1"/>
  <c r="J16" i="93" s="1"/>
  <c r="H16" i="93"/>
  <c r="F16" i="93"/>
  <c r="Z15" i="93"/>
  <c r="Y15" i="93"/>
  <c r="W15" i="93" a="1"/>
  <c r="W15" i="93" s="1"/>
  <c r="V15" i="93"/>
  <c r="U15" i="93" a="1"/>
  <c r="U15" i="93" s="1"/>
  <c r="T15" i="93" a="1"/>
  <c r="T15" i="93" s="1"/>
  <c r="S15" i="93" a="1"/>
  <c r="S15" i="93" s="1"/>
  <c r="R15" i="93" a="1"/>
  <c r="R15" i="93" s="1"/>
  <c r="Q15" i="93" a="1"/>
  <c r="Q15" i="93" s="1"/>
  <c r="P15" i="93" a="1"/>
  <c r="P15" i="93" s="1"/>
  <c r="O15" i="93" a="1"/>
  <c r="O15" i="93" s="1"/>
  <c r="N15" i="93" a="1"/>
  <c r="N15" i="93" s="1"/>
  <c r="M15" i="93" a="1"/>
  <c r="M15" i="93" s="1"/>
  <c r="L15" i="93" a="1"/>
  <c r="L15" i="93" s="1"/>
  <c r="K15" i="93" a="1"/>
  <c r="K15" i="93" s="1"/>
  <c r="J15" i="93" a="1"/>
  <c r="J15" i="93" s="1"/>
  <c r="H15" i="93"/>
  <c r="F15" i="93"/>
  <c r="Z14" i="93"/>
  <c r="Y14" i="93"/>
  <c r="W14" i="93" a="1"/>
  <c r="W14" i="93" s="1"/>
  <c r="X14" i="93" s="1"/>
  <c r="V14" i="93"/>
  <c r="U14" i="93" a="1"/>
  <c r="U14" i="93" s="1"/>
  <c r="T14" i="93" a="1"/>
  <c r="T14" i="93" s="1"/>
  <c r="S14" i="93" a="1"/>
  <c r="S14" i="93" s="1"/>
  <c r="R14" i="93" a="1"/>
  <c r="R14" i="93" s="1"/>
  <c r="Q14" i="93" a="1"/>
  <c r="Q14" i="93" s="1"/>
  <c r="P14" i="93" a="1"/>
  <c r="P14" i="93" s="1"/>
  <c r="O14" i="93" a="1"/>
  <c r="O14" i="93" s="1"/>
  <c r="N14" i="93" a="1"/>
  <c r="N14" i="93" s="1"/>
  <c r="M14" i="93" a="1"/>
  <c r="M14" i="93" s="1"/>
  <c r="L14" i="93" a="1"/>
  <c r="L14" i="93" s="1"/>
  <c r="K14" i="93" a="1"/>
  <c r="K14" i="93" s="1"/>
  <c r="J14" i="93" a="1"/>
  <c r="J14" i="93" s="1"/>
  <c r="H14" i="93"/>
  <c r="F14" i="93"/>
  <c r="Z13" i="93"/>
  <c r="Y13" i="93"/>
  <c r="W13" i="93" a="1"/>
  <c r="W13" i="93" s="1"/>
  <c r="V13" i="93"/>
  <c r="U13" i="93" a="1"/>
  <c r="U13" i="93" s="1"/>
  <c r="T13" i="93" a="1"/>
  <c r="T13" i="93" s="1"/>
  <c r="S13" i="93" a="1"/>
  <c r="S13" i="93" s="1"/>
  <c r="R13" i="93" a="1"/>
  <c r="R13" i="93" s="1"/>
  <c r="Q13" i="93" a="1"/>
  <c r="Q13" i="93" s="1"/>
  <c r="P13" i="93" a="1"/>
  <c r="P13" i="93" s="1"/>
  <c r="O13" i="93" a="1"/>
  <c r="O13" i="93" s="1"/>
  <c r="N13" i="93" a="1"/>
  <c r="N13" i="93" s="1"/>
  <c r="M13" i="93" a="1"/>
  <c r="M13" i="93" s="1"/>
  <c r="L13" i="93" a="1"/>
  <c r="L13" i="93" s="1"/>
  <c r="K13" i="93" a="1"/>
  <c r="K13" i="93" s="1"/>
  <c r="J13" i="93" a="1"/>
  <c r="J13" i="93" s="1"/>
  <c r="H13" i="93"/>
  <c r="F13" i="93"/>
  <c r="Z12" i="93"/>
  <c r="Y12" i="93"/>
  <c r="W12" i="93" a="1"/>
  <c r="W12" i="93" s="1"/>
  <c r="V12" i="93"/>
  <c r="U12" i="93" a="1"/>
  <c r="U12" i="93" s="1"/>
  <c r="T12" i="93" a="1"/>
  <c r="T12" i="93" s="1"/>
  <c r="S12" i="93" a="1"/>
  <c r="S12" i="93" s="1"/>
  <c r="R12" i="93" a="1"/>
  <c r="R12" i="93" s="1"/>
  <c r="Q12" i="93" a="1"/>
  <c r="Q12" i="93" s="1"/>
  <c r="P12" i="93" a="1"/>
  <c r="P12" i="93" s="1"/>
  <c r="O12" i="93" a="1"/>
  <c r="O12" i="93" s="1"/>
  <c r="N12" i="93" a="1"/>
  <c r="N12" i="93" s="1"/>
  <c r="M12" i="93" a="1"/>
  <c r="M12" i="93" s="1"/>
  <c r="L12" i="93" a="1"/>
  <c r="L12" i="93" s="1"/>
  <c r="K12" i="93" a="1"/>
  <c r="K12" i="93" s="1"/>
  <c r="J12" i="93" a="1"/>
  <c r="J12" i="93" s="1"/>
  <c r="H12" i="93"/>
  <c r="F12" i="93"/>
  <c r="E19" i="111"/>
  <c r="H16" i="115" a="1"/>
  <c r="H16" i="115" s="1"/>
  <c r="H15" i="115" a="1"/>
  <c r="H15" i="115" s="1"/>
  <c r="H14" i="115" a="1"/>
  <c r="H14" i="115" s="1"/>
  <c r="H13" i="115" a="1"/>
  <c r="H13" i="115" s="1"/>
  <c r="H12" i="115" a="1"/>
  <c r="H12" i="115" s="1"/>
  <c r="H11" i="115" a="1"/>
  <c r="H11" i="115" s="1"/>
  <c r="H10" i="115" a="1"/>
  <c r="H10" i="115" s="1"/>
  <c r="H9" i="115" a="1"/>
  <c r="H9" i="115" s="1"/>
  <c r="H8" i="115" a="1"/>
  <c r="H8" i="115" s="1"/>
  <c r="H7" i="115" a="1"/>
  <c r="H7" i="115" s="1"/>
  <c r="D118" i="82"/>
  <c r="D113" i="82"/>
  <c r="D116" i="82" s="1"/>
  <c r="D108" i="82"/>
  <c r="D109" i="82" s="1"/>
  <c r="D103" i="82"/>
  <c r="D94" i="82"/>
  <c r="D89" i="82"/>
  <c r="D84" i="82"/>
  <c r="D86" i="82" s="1"/>
  <c r="D79" i="82"/>
  <c r="I70" i="82"/>
  <c r="H70" i="82"/>
  <c r="G70" i="82"/>
  <c r="F70" i="82"/>
  <c r="E70" i="82"/>
  <c r="I69" i="82"/>
  <c r="H69" i="82"/>
  <c r="G69" i="82"/>
  <c r="F69" i="82"/>
  <c r="E69" i="82"/>
  <c r="I68" i="82"/>
  <c r="H68" i="82"/>
  <c r="G68" i="82"/>
  <c r="F68" i="82"/>
  <c r="E68" i="82"/>
  <c r="I65" i="82"/>
  <c r="H65" i="82"/>
  <c r="G65" i="82"/>
  <c r="F65" i="82"/>
  <c r="E65" i="82"/>
  <c r="I64" i="82"/>
  <c r="H64" i="82"/>
  <c r="G64" i="82"/>
  <c r="F64" i="82"/>
  <c r="E64" i="82"/>
  <c r="I63" i="82"/>
  <c r="H63" i="82"/>
  <c r="G63" i="82"/>
  <c r="F63" i="82"/>
  <c r="E63" i="82"/>
  <c r="I28" i="82" a="1"/>
  <c r="I28" i="82" s="1"/>
  <c r="I29" i="82" s="1"/>
  <c r="H28" i="82" a="1"/>
  <c r="H28" i="82" s="1"/>
  <c r="H29" i="82" s="1"/>
  <c r="G28" i="82" a="1"/>
  <c r="G28" i="82" s="1"/>
  <c r="G29" i="82" s="1"/>
  <c r="F28" i="82" a="1"/>
  <c r="F28" i="82" s="1"/>
  <c r="F29" i="82" s="1"/>
  <c r="E28" i="82" a="1"/>
  <c r="E28" i="82" s="1"/>
  <c r="E29" i="82" s="1"/>
  <c r="I25" i="82" a="1"/>
  <c r="I25" i="82" s="1"/>
  <c r="H25" i="82" a="1"/>
  <c r="H25" i="82" s="1"/>
  <c r="G25" i="82" a="1"/>
  <c r="G25" i="82" s="1"/>
  <c r="F25" i="82" a="1"/>
  <c r="F25" i="82" s="1"/>
  <c r="E25" i="82" a="1"/>
  <c r="E25" i="82" s="1"/>
  <c r="I24" i="82" a="1"/>
  <c r="I24" i="82" s="1"/>
  <c r="H24" i="82" a="1"/>
  <c r="H24" i="82" s="1"/>
  <c r="G24" i="82" a="1"/>
  <c r="G24" i="82" s="1"/>
  <c r="F24" i="82" a="1"/>
  <c r="F24" i="82" s="1"/>
  <c r="E24" i="82" a="1"/>
  <c r="E24" i="82" s="1"/>
  <c r="I19" i="82" a="1"/>
  <c r="I19" i="82" s="1"/>
  <c r="H19" i="82" a="1"/>
  <c r="H19" i="82" s="1"/>
  <c r="G19" i="82" a="1"/>
  <c r="G19" i="82" s="1"/>
  <c r="F19" i="82" a="1"/>
  <c r="F19" i="82" s="1"/>
  <c r="E19" i="82" a="1"/>
  <c r="E19" i="82" s="1"/>
  <c r="I18" i="82" a="1"/>
  <c r="I18" i="82" s="1"/>
  <c r="H18" i="82" a="1"/>
  <c r="H18" i="82" s="1"/>
  <c r="G18" i="82"/>
  <c r="F18" i="82"/>
  <c r="E18" i="82"/>
  <c r="I15" i="82" a="1"/>
  <c r="I15" i="82" s="1"/>
  <c r="H15" i="82" a="1"/>
  <c r="H15" i="82" s="1"/>
  <c r="G15" i="82" a="1"/>
  <c r="G15" i="82" s="1"/>
  <c r="F15" i="82" a="1"/>
  <c r="F15" i="82" s="1"/>
  <c r="E15" i="82" a="1"/>
  <c r="E15" i="82" s="1"/>
  <c r="I14" i="82" a="1"/>
  <c r="I14" i="82" s="1"/>
  <c r="H14" i="82" a="1"/>
  <c r="H14" i="82" s="1"/>
  <c r="G14" i="82"/>
  <c r="F14" i="82"/>
  <c r="E14" i="82"/>
  <c r="F27" i="124" a="1"/>
  <c r="F27" i="124" s="1"/>
  <c r="E27" i="124" a="1"/>
  <c r="E27" i="124" s="1"/>
  <c r="D27" i="124" a="1"/>
  <c r="D27" i="124" s="1"/>
  <c r="F26" i="124" a="1"/>
  <c r="F26" i="124" s="1"/>
  <c r="E26" i="124" a="1"/>
  <c r="E26" i="124" s="1"/>
  <c r="D26" i="124" a="1"/>
  <c r="D26" i="124" s="1"/>
  <c r="F25" i="124" a="1"/>
  <c r="F25" i="124" s="1"/>
  <c r="E25" i="124" a="1"/>
  <c r="E25" i="124" s="1"/>
  <c r="D25" i="124" a="1"/>
  <c r="D25" i="124" s="1"/>
  <c r="F24" i="124" a="1"/>
  <c r="F24" i="124" s="1"/>
  <c r="E24" i="124" a="1"/>
  <c r="E24" i="124" s="1"/>
  <c r="D24" i="124" a="1"/>
  <c r="D24" i="124" s="1"/>
  <c r="F23" i="124" a="1"/>
  <c r="F23" i="124" s="1"/>
  <c r="E23" i="124" a="1"/>
  <c r="E23" i="124" s="1"/>
  <c r="D23" i="124" a="1"/>
  <c r="D23" i="124" s="1"/>
  <c r="F22" i="124" a="1"/>
  <c r="F22" i="124" s="1"/>
  <c r="E22" i="124" a="1"/>
  <c r="E22" i="124" s="1"/>
  <c r="D22" i="124" a="1"/>
  <c r="D22" i="124" s="1"/>
  <c r="F21" i="124" a="1"/>
  <c r="F21" i="124" s="1"/>
  <c r="E21" i="124" a="1"/>
  <c r="E21" i="124" s="1"/>
  <c r="D21" i="124" a="1"/>
  <c r="D21" i="124" s="1"/>
  <c r="F20" i="124" a="1"/>
  <c r="F20" i="124" s="1"/>
  <c r="E20" i="124" a="1"/>
  <c r="E20" i="124" s="1"/>
  <c r="D20" i="124" a="1"/>
  <c r="D20" i="124" s="1"/>
  <c r="F19" i="124" a="1"/>
  <c r="F19" i="124" s="1"/>
  <c r="E19" i="124" a="1"/>
  <c r="E19" i="124" s="1"/>
  <c r="D19" i="124" a="1"/>
  <c r="D19" i="124" s="1"/>
  <c r="F18" i="124" a="1"/>
  <c r="F18" i="124" s="1"/>
  <c r="E18" i="124" a="1"/>
  <c r="E18" i="124" s="1"/>
  <c r="D18" i="124" a="1"/>
  <c r="D18" i="124" s="1"/>
  <c r="F17" i="124" a="1"/>
  <c r="F17" i="124" s="1"/>
  <c r="E17" i="124" a="1"/>
  <c r="E17" i="124" s="1"/>
  <c r="D17" i="124" a="1"/>
  <c r="D17" i="124" s="1"/>
  <c r="F16" i="124" a="1"/>
  <c r="F16" i="124" s="1"/>
  <c r="E16" i="124" a="1"/>
  <c r="E16" i="124" s="1"/>
  <c r="D16" i="124"/>
  <c r="D16" i="124" a="1"/>
  <c r="F15" i="124" a="1"/>
  <c r="F15" i="124" s="1"/>
  <c r="E15" i="124" a="1"/>
  <c r="E15" i="124" s="1"/>
  <c r="D15" i="124" a="1"/>
  <c r="D15"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D8" i="124" a="1"/>
  <c r="D8" i="124" s="1"/>
  <c r="D7" i="124"/>
  <c r="D7" i="124" a="1"/>
  <c r="D6" i="124" a="1"/>
  <c r="D6" i="124" s="1"/>
  <c r="I247" i="123" a="1"/>
  <c r="I247" i="123" s="1"/>
  <c r="H247" i="123" a="1"/>
  <c r="H247" i="123" s="1"/>
  <c r="G247" i="123" a="1"/>
  <c r="G247" i="123" s="1"/>
  <c r="F247" i="123" a="1"/>
  <c r="F247" i="123" s="1"/>
  <c r="E247" i="123" a="1"/>
  <c r="E247" i="123" s="1"/>
  <c r="D247" i="123" a="1"/>
  <c r="D247" i="123" s="1"/>
  <c r="I246" i="123" a="1"/>
  <c r="I246" i="123" s="1"/>
  <c r="H246" i="123" a="1"/>
  <c r="H246" i="123" s="1"/>
  <c r="G246" i="123" a="1"/>
  <c r="G246" i="123" s="1"/>
  <c r="F246" i="123" a="1"/>
  <c r="F246" i="123" s="1"/>
  <c r="E246" i="123" a="1"/>
  <c r="E246" i="123" s="1"/>
  <c r="D246" i="123" a="1"/>
  <c r="D246" i="123" s="1"/>
  <c r="I245" i="123" a="1"/>
  <c r="I245" i="123" s="1"/>
  <c r="H245" i="123" a="1"/>
  <c r="H245" i="123" s="1"/>
  <c r="G245" i="123" a="1"/>
  <c r="G245" i="123" s="1"/>
  <c r="F245" i="123" a="1"/>
  <c r="F245" i="123" s="1"/>
  <c r="E245" i="123" a="1"/>
  <c r="E245" i="123" s="1"/>
  <c r="D245" i="123" a="1"/>
  <c r="D245" i="123" s="1"/>
  <c r="I244" i="123" a="1"/>
  <c r="I244" i="123" s="1"/>
  <c r="H244" i="123" a="1"/>
  <c r="H244" i="123" s="1"/>
  <c r="G244" i="123" a="1"/>
  <c r="G244" i="123" s="1"/>
  <c r="F244" i="123" a="1"/>
  <c r="F244" i="123" s="1"/>
  <c r="E244" i="123" a="1"/>
  <c r="E244" i="123" s="1"/>
  <c r="D244" i="123" a="1"/>
  <c r="D244" i="123" s="1"/>
  <c r="I243" i="123" a="1"/>
  <c r="I243" i="123" s="1"/>
  <c r="H243" i="123" a="1"/>
  <c r="H243" i="123" s="1"/>
  <c r="G243" i="123" a="1"/>
  <c r="G243" i="123" s="1"/>
  <c r="F243" i="123" a="1"/>
  <c r="F243" i="123" s="1"/>
  <c r="M243" i="123" s="1"/>
  <c r="E243" i="123" a="1"/>
  <c r="E243" i="123" s="1"/>
  <c r="L243" i="123" s="1"/>
  <c r="D243" i="123" a="1"/>
  <c r="D243" i="123" s="1"/>
  <c r="I242" i="123" a="1"/>
  <c r="I242" i="123" s="1"/>
  <c r="H242" i="123" a="1"/>
  <c r="H242" i="123" s="1"/>
  <c r="G242" i="123" a="1"/>
  <c r="G242" i="123" s="1"/>
  <c r="F242" i="123" a="1"/>
  <c r="F242" i="123" s="1"/>
  <c r="M242" i="123" s="1"/>
  <c r="E242" i="123" a="1"/>
  <c r="E242" i="123" s="1"/>
  <c r="L242" i="123" s="1"/>
  <c r="N241" i="123" s="1"/>
  <c r="D242" i="123" a="1"/>
  <c r="D242" i="123" s="1"/>
  <c r="I237" i="123" a="1"/>
  <c r="I237" i="123" s="1"/>
  <c r="H237" i="123" a="1"/>
  <c r="H237" i="123" s="1"/>
  <c r="G237" i="123" a="1"/>
  <c r="G237" i="123" s="1"/>
  <c r="F237" i="123" a="1"/>
  <c r="F237" i="123" s="1"/>
  <c r="E237" i="123" a="1"/>
  <c r="E237" i="123" s="1"/>
  <c r="D237" i="123" a="1"/>
  <c r="D237" i="123" s="1"/>
  <c r="I236" i="123" a="1"/>
  <c r="I236" i="123" s="1"/>
  <c r="H236" i="123" a="1"/>
  <c r="H236" i="123" s="1"/>
  <c r="G236" i="123" a="1"/>
  <c r="G236" i="123" s="1"/>
  <c r="F236" i="123" a="1"/>
  <c r="F236" i="123" s="1"/>
  <c r="E236" i="123" a="1"/>
  <c r="E236" i="123" s="1"/>
  <c r="D236" i="123"/>
  <c r="D236" i="123" a="1"/>
  <c r="I235" i="123" a="1"/>
  <c r="I235" i="123" s="1"/>
  <c r="H235" i="123" a="1"/>
  <c r="H235" i="123" s="1"/>
  <c r="G235" i="123" a="1"/>
  <c r="G235" i="123" s="1"/>
  <c r="F235" i="123" a="1"/>
  <c r="F235" i="123" s="1"/>
  <c r="E235" i="123" a="1"/>
  <c r="E235" i="123" s="1"/>
  <c r="D235" i="123" a="1"/>
  <c r="D235" i="123" s="1"/>
  <c r="I231" i="123" a="1"/>
  <c r="I231" i="123" s="1"/>
  <c r="H231" i="123" a="1"/>
  <c r="H231" i="123" s="1"/>
  <c r="G231" i="123" a="1"/>
  <c r="G231" i="123" s="1"/>
  <c r="F231" i="123" a="1"/>
  <c r="F231" i="123" s="1"/>
  <c r="E231" i="123" a="1"/>
  <c r="E231" i="123" s="1"/>
  <c r="D231" i="123" a="1"/>
  <c r="D231" i="123" s="1"/>
  <c r="I230" i="123" a="1"/>
  <c r="I230" i="123" s="1"/>
  <c r="H230" i="123" a="1"/>
  <c r="H230" i="123" s="1"/>
  <c r="G230" i="123" a="1"/>
  <c r="G230" i="123" s="1"/>
  <c r="F230" i="123" a="1"/>
  <c r="F230" i="123" s="1"/>
  <c r="E230" i="123" a="1"/>
  <c r="E230" i="123" s="1"/>
  <c r="D230" i="123" a="1"/>
  <c r="D230" i="123" s="1"/>
  <c r="I229" i="123" a="1"/>
  <c r="I229" i="123" s="1"/>
  <c r="H229" i="123" a="1"/>
  <c r="H229" i="123" s="1"/>
  <c r="G229" i="123" a="1"/>
  <c r="G229" i="123" s="1"/>
  <c r="F229" i="123"/>
  <c r="F229" i="123" a="1"/>
  <c r="E229" i="123" a="1"/>
  <c r="E229" i="123" s="1"/>
  <c r="D229" i="123" a="1"/>
  <c r="D229" i="123" s="1"/>
  <c r="I228" i="123" a="1"/>
  <c r="I228" i="123" s="1"/>
  <c r="H228" i="123" a="1"/>
  <c r="H228" i="123" s="1"/>
  <c r="G228" i="123" a="1"/>
  <c r="G228" i="123" s="1"/>
  <c r="F228" i="123" a="1"/>
  <c r="F228" i="123" s="1"/>
  <c r="E228" i="123" a="1"/>
  <c r="E228" i="123" s="1"/>
  <c r="D228" i="123" a="1"/>
  <c r="D228" i="123" s="1"/>
  <c r="I227" i="123" a="1"/>
  <c r="I227" i="123" s="1"/>
  <c r="H227" i="123" a="1"/>
  <c r="H227" i="123" s="1"/>
  <c r="G227" i="123" a="1"/>
  <c r="G227" i="123" s="1"/>
  <c r="F227" i="123" a="1"/>
  <c r="F227" i="123" s="1"/>
  <c r="E227" i="123" a="1"/>
  <c r="E227" i="123" s="1"/>
  <c r="D227" i="123" a="1"/>
  <c r="D227" i="123" s="1"/>
  <c r="I226" i="123" a="1"/>
  <c r="I226" i="123" s="1"/>
  <c r="H226" i="123" a="1"/>
  <c r="H226" i="123" s="1"/>
  <c r="G226" i="123" a="1"/>
  <c r="G226" i="123" s="1"/>
  <c r="F226" i="123" a="1"/>
  <c r="F226" i="123" s="1"/>
  <c r="E226" i="123" a="1"/>
  <c r="E226" i="123" s="1"/>
  <c r="D226" i="123" a="1"/>
  <c r="D226" i="123" s="1"/>
  <c r="I225" i="123" a="1"/>
  <c r="I225" i="123" s="1"/>
  <c r="H225" i="123" a="1"/>
  <c r="H225" i="123" s="1"/>
  <c r="G225" i="123" a="1"/>
  <c r="G225" i="123" s="1"/>
  <c r="F225" i="123" a="1"/>
  <c r="F225" i="123" s="1"/>
  <c r="E225" i="123" a="1"/>
  <c r="E225" i="123" s="1"/>
  <c r="D225" i="123" a="1"/>
  <c r="D225" i="123" s="1"/>
  <c r="I224" i="123" a="1"/>
  <c r="I224" i="123" s="1"/>
  <c r="H224" i="123" a="1"/>
  <c r="H224" i="123" s="1"/>
  <c r="G224" i="123" a="1"/>
  <c r="G224" i="123" s="1"/>
  <c r="F224" i="123" a="1"/>
  <c r="F224" i="123" s="1"/>
  <c r="E224" i="123" a="1"/>
  <c r="E224" i="123" s="1"/>
  <c r="D224" i="123" a="1"/>
  <c r="D224" i="123" s="1"/>
  <c r="I223" i="123" a="1"/>
  <c r="I223" i="123" s="1"/>
  <c r="H223" i="123" a="1"/>
  <c r="H223" i="123" s="1"/>
  <c r="G223" i="123" a="1"/>
  <c r="G223" i="123" s="1"/>
  <c r="F223" i="123" a="1"/>
  <c r="F223" i="123" s="1"/>
  <c r="E223" i="123" a="1"/>
  <c r="E223" i="123" s="1"/>
  <c r="D223" i="123"/>
  <c r="D223" i="123" a="1"/>
  <c r="I222" i="123" a="1"/>
  <c r="I222" i="123" s="1"/>
  <c r="H222" i="123" a="1"/>
  <c r="H222" i="123" s="1"/>
  <c r="G222" i="123" a="1"/>
  <c r="G222" i="123" s="1"/>
  <c r="F222" i="123"/>
  <c r="F222" i="123" a="1"/>
  <c r="E222" i="123" a="1"/>
  <c r="E222" i="123" s="1"/>
  <c r="D222" i="123" a="1"/>
  <c r="D222" i="123" s="1"/>
  <c r="I221" i="123" a="1"/>
  <c r="I221" i="123" s="1"/>
  <c r="H221" i="123" a="1"/>
  <c r="H221" i="123" s="1"/>
  <c r="G221" i="123" a="1"/>
  <c r="G221" i="123" s="1"/>
  <c r="F221" i="123" a="1"/>
  <c r="F221" i="123" s="1"/>
  <c r="E221" i="123" a="1"/>
  <c r="E221" i="123" s="1"/>
  <c r="D221" i="123" a="1"/>
  <c r="D221" i="123" s="1"/>
  <c r="I220" i="123" a="1"/>
  <c r="I220" i="123" s="1"/>
  <c r="H220" i="123" a="1"/>
  <c r="H220" i="123" s="1"/>
  <c r="G220" i="123" a="1"/>
  <c r="G220" i="123" s="1"/>
  <c r="F220" i="123" a="1"/>
  <c r="F220" i="123" s="1"/>
  <c r="E220" i="123" a="1"/>
  <c r="E220" i="123" s="1"/>
  <c r="D220" i="123" a="1"/>
  <c r="D220" i="123" s="1"/>
  <c r="I216" i="123" a="1"/>
  <c r="I216" i="123" s="1"/>
  <c r="H216" i="123" a="1"/>
  <c r="H216" i="123" s="1"/>
  <c r="G216" i="123" a="1"/>
  <c r="G216" i="123" s="1"/>
  <c r="F216" i="123" a="1"/>
  <c r="F216" i="123" s="1"/>
  <c r="E216" i="123" a="1"/>
  <c r="E216" i="123" s="1"/>
  <c r="D216" i="123" a="1"/>
  <c r="D216" i="123" s="1"/>
  <c r="I215" i="123" a="1"/>
  <c r="I215" i="123" s="1"/>
  <c r="H215" i="123" a="1"/>
  <c r="H215" i="123" s="1"/>
  <c r="G215" i="123" a="1"/>
  <c r="G215" i="123" s="1"/>
  <c r="F215" i="123" a="1"/>
  <c r="F215" i="123" s="1"/>
  <c r="E215" i="123" a="1"/>
  <c r="E215" i="123" s="1"/>
  <c r="D215" i="123"/>
  <c r="D215" i="123" a="1"/>
  <c r="I214" i="123" a="1"/>
  <c r="I214" i="123" s="1"/>
  <c r="H214" i="123"/>
  <c r="H214" i="123" a="1"/>
  <c r="G214" i="123" a="1"/>
  <c r="G214" i="123" s="1"/>
  <c r="F214" i="123" a="1"/>
  <c r="F214" i="123" s="1"/>
  <c r="E214" i="123" a="1"/>
  <c r="E214" i="123" s="1"/>
  <c r="D214" i="123" a="1"/>
  <c r="D214" i="123" s="1"/>
  <c r="I213" i="123" a="1"/>
  <c r="I213" i="123" s="1"/>
  <c r="H213" i="123" a="1"/>
  <c r="H213" i="123" s="1"/>
  <c r="G213" i="123" a="1"/>
  <c r="G213" i="123" s="1"/>
  <c r="F213" i="123" a="1"/>
  <c r="F213" i="123" s="1"/>
  <c r="E213" i="123" a="1"/>
  <c r="E213" i="123" s="1"/>
  <c r="D213" i="123" a="1"/>
  <c r="D213" i="123" s="1"/>
  <c r="I209" i="123" a="1"/>
  <c r="I209" i="123" s="1"/>
  <c r="H209" i="123" a="1"/>
  <c r="H209" i="123" s="1"/>
  <c r="G209" i="123" a="1"/>
  <c r="G209" i="123" s="1"/>
  <c r="F209" i="123" a="1"/>
  <c r="F209" i="123" s="1"/>
  <c r="E209" i="123"/>
  <c r="E209" i="123" a="1"/>
  <c r="D209" i="123" a="1"/>
  <c r="D209" i="123" s="1"/>
  <c r="I208" i="123" a="1"/>
  <c r="I208" i="123" s="1"/>
  <c r="H208" i="123" a="1"/>
  <c r="H208" i="123" s="1"/>
  <c r="G208" i="123" a="1"/>
  <c r="G208" i="123" s="1"/>
  <c r="F208" i="123" a="1"/>
  <c r="F208" i="123" s="1"/>
  <c r="E208" i="123" a="1"/>
  <c r="E208" i="123" s="1"/>
  <c r="D208" i="123" a="1"/>
  <c r="D208" i="123" s="1"/>
  <c r="I207" i="123" a="1"/>
  <c r="I207" i="123" s="1"/>
  <c r="H207" i="123" a="1"/>
  <c r="H207" i="123" s="1"/>
  <c r="G207" i="123" a="1"/>
  <c r="G207" i="123" s="1"/>
  <c r="F207" i="123" a="1"/>
  <c r="F207" i="123" s="1"/>
  <c r="E207" i="123" a="1"/>
  <c r="E207" i="123" s="1"/>
  <c r="D207" i="123" a="1"/>
  <c r="D207" i="123" s="1"/>
  <c r="I206" i="123" a="1"/>
  <c r="I206" i="123" s="1"/>
  <c r="H206" i="123" a="1"/>
  <c r="H206" i="123" s="1"/>
  <c r="G206" i="123" a="1"/>
  <c r="G206" i="123" s="1"/>
  <c r="F206" i="123" a="1"/>
  <c r="F206" i="123" s="1"/>
  <c r="E206" i="123" a="1"/>
  <c r="E206" i="123" s="1"/>
  <c r="D206" i="123" a="1"/>
  <c r="D206" i="123" s="1"/>
  <c r="I205" i="123" a="1"/>
  <c r="I205" i="123" s="1"/>
  <c r="H205" i="123" a="1"/>
  <c r="H205" i="123" s="1"/>
  <c r="G205" i="123" a="1"/>
  <c r="G205" i="123" s="1"/>
  <c r="F205" i="123" a="1"/>
  <c r="F205" i="123" s="1"/>
  <c r="E205" i="123" a="1"/>
  <c r="E205" i="123" s="1"/>
  <c r="D205" i="123"/>
  <c r="D205" i="123" a="1"/>
  <c r="I204" i="123" a="1"/>
  <c r="I204" i="123" s="1"/>
  <c r="H204" i="123" a="1"/>
  <c r="H204" i="123" s="1"/>
  <c r="G204" i="123" a="1"/>
  <c r="G204" i="123" s="1"/>
  <c r="F204" i="123" a="1"/>
  <c r="F204" i="123" s="1"/>
  <c r="E204" i="123" a="1"/>
  <c r="E204" i="123" s="1"/>
  <c r="D204" i="123" a="1"/>
  <c r="D204" i="123" s="1"/>
  <c r="I203" i="123" a="1"/>
  <c r="I203" i="123" s="1"/>
  <c r="H203" i="123" a="1"/>
  <c r="H203" i="123" s="1"/>
  <c r="G203" i="123" a="1"/>
  <c r="G203" i="123" s="1"/>
  <c r="F203" i="123" a="1"/>
  <c r="F203" i="123" s="1"/>
  <c r="E203" i="123" a="1"/>
  <c r="E203" i="123" s="1"/>
  <c r="D203" i="123" a="1"/>
  <c r="D203" i="123" s="1"/>
  <c r="I202" i="123"/>
  <c r="I202" i="123" a="1"/>
  <c r="H202" i="123" a="1"/>
  <c r="H202" i="123" s="1"/>
  <c r="G202" i="123" a="1"/>
  <c r="G202" i="123" s="1"/>
  <c r="F202" i="123" a="1"/>
  <c r="F202" i="123" s="1"/>
  <c r="E202" i="123" a="1"/>
  <c r="E202" i="123" s="1"/>
  <c r="D202" i="123" a="1"/>
  <c r="D202" i="123" s="1"/>
  <c r="M198" i="123" a="1"/>
  <c r="M198" i="123" s="1"/>
  <c r="L198" i="123" a="1"/>
  <c r="L198" i="123" s="1"/>
  <c r="K198" i="123" a="1"/>
  <c r="K198" i="123" s="1"/>
  <c r="F198" i="123" a="1"/>
  <c r="F198" i="123" s="1"/>
  <c r="E198" i="123" a="1"/>
  <c r="E198" i="123" s="1"/>
  <c r="D198" i="123" a="1"/>
  <c r="D198" i="123" s="1"/>
  <c r="M197" i="123" a="1"/>
  <c r="M197" i="123" s="1"/>
  <c r="L197" i="123" a="1"/>
  <c r="L197" i="123" s="1"/>
  <c r="K197" i="123" a="1"/>
  <c r="K197" i="123" s="1"/>
  <c r="F197" i="123" a="1"/>
  <c r="F197" i="123" s="1"/>
  <c r="E197" i="123" a="1"/>
  <c r="E197" i="123" s="1"/>
  <c r="D197" i="123" a="1"/>
  <c r="D197" i="123" s="1"/>
  <c r="M196" i="123" a="1"/>
  <c r="M196" i="123" s="1"/>
  <c r="L196" i="123" a="1"/>
  <c r="L196" i="123" s="1"/>
  <c r="K196" i="123" a="1"/>
  <c r="K196" i="123" s="1"/>
  <c r="F196" i="123" a="1"/>
  <c r="F196" i="123" s="1"/>
  <c r="E196" i="123" a="1"/>
  <c r="E196" i="123" s="1"/>
  <c r="D196" i="123" a="1"/>
  <c r="D196" i="123" s="1"/>
  <c r="M195" i="123" a="1"/>
  <c r="M195" i="123" s="1"/>
  <c r="L195" i="123" a="1"/>
  <c r="L195" i="123" s="1"/>
  <c r="K195" i="123" a="1"/>
  <c r="K195" i="123" s="1"/>
  <c r="F195" i="123" a="1"/>
  <c r="F195" i="123" s="1"/>
  <c r="E195" i="123" a="1"/>
  <c r="E195" i="123" s="1"/>
  <c r="D195" i="123"/>
  <c r="D195" i="123" a="1"/>
  <c r="M194" i="123" a="1"/>
  <c r="M194" i="123" s="1"/>
  <c r="L194" i="123" a="1"/>
  <c r="L194" i="123" s="1"/>
  <c r="K194" i="123" a="1"/>
  <c r="K194" i="123" s="1"/>
  <c r="F194" i="123" a="1"/>
  <c r="F194" i="123" s="1"/>
  <c r="E194" i="123" a="1"/>
  <c r="E194" i="123" s="1"/>
  <c r="D194" i="123" a="1"/>
  <c r="D194" i="123" s="1"/>
  <c r="M193" i="123" a="1"/>
  <c r="M193" i="123" s="1"/>
  <c r="L193" i="123" a="1"/>
  <c r="L193" i="123" s="1"/>
  <c r="K193" i="123" a="1"/>
  <c r="K193" i="123" s="1"/>
  <c r="F193" i="123" a="1"/>
  <c r="F193" i="123" s="1"/>
  <c r="E193" i="123" a="1"/>
  <c r="E193" i="123" s="1"/>
  <c r="D193" i="123" a="1"/>
  <c r="D193" i="123" s="1"/>
  <c r="M192" i="123" a="1"/>
  <c r="M192" i="123" s="1"/>
  <c r="L192" i="123" a="1"/>
  <c r="L192" i="123" s="1"/>
  <c r="K192" i="123" a="1"/>
  <c r="K192" i="123" s="1"/>
  <c r="F192" i="123" a="1"/>
  <c r="F192" i="123" s="1"/>
  <c r="E192" i="123" a="1"/>
  <c r="E192" i="123" s="1"/>
  <c r="D192" i="123" a="1"/>
  <c r="D192" i="123" s="1"/>
  <c r="M191" i="123" a="1"/>
  <c r="M191" i="123" s="1"/>
  <c r="L191" i="123" a="1"/>
  <c r="L191" i="123" s="1"/>
  <c r="K191" i="123" a="1"/>
  <c r="K191" i="123" s="1"/>
  <c r="F191" i="123" a="1"/>
  <c r="F191" i="123" s="1"/>
  <c r="E191" i="123" a="1"/>
  <c r="E191" i="123" s="1"/>
  <c r="D191" i="123" a="1"/>
  <c r="D191" i="123" s="1"/>
  <c r="M190" i="123" a="1"/>
  <c r="M190" i="123" s="1"/>
  <c r="L190" i="123" a="1"/>
  <c r="L190" i="123" s="1"/>
  <c r="K190" i="123" a="1"/>
  <c r="K190" i="123" s="1"/>
  <c r="F190" i="123" a="1"/>
  <c r="F190" i="123" s="1"/>
  <c r="E190" i="123" a="1"/>
  <c r="E190" i="123" s="1"/>
  <c r="D190" i="123" a="1"/>
  <c r="D190" i="123" s="1"/>
  <c r="M189" i="123" a="1"/>
  <c r="M189" i="123" s="1"/>
  <c r="L189" i="123" a="1"/>
  <c r="L189" i="123" s="1"/>
  <c r="K189" i="123" a="1"/>
  <c r="K189" i="123" s="1"/>
  <c r="F189" i="123" a="1"/>
  <c r="F189" i="123" s="1"/>
  <c r="E189" i="123" a="1"/>
  <c r="E189" i="123" s="1"/>
  <c r="D189" i="123" a="1"/>
  <c r="D189" i="123" s="1"/>
  <c r="M188" i="123" a="1"/>
  <c r="M188" i="123" s="1"/>
  <c r="L188" i="123" a="1"/>
  <c r="L188" i="123" s="1"/>
  <c r="K188" i="123" a="1"/>
  <c r="K188" i="123" s="1"/>
  <c r="F188" i="123" a="1"/>
  <c r="F188" i="123" s="1"/>
  <c r="E188" i="123" a="1"/>
  <c r="E188" i="123" s="1"/>
  <c r="D188" i="123" a="1"/>
  <c r="D188" i="123" s="1"/>
  <c r="M187" i="123" a="1"/>
  <c r="M187" i="123" s="1"/>
  <c r="L187" i="123" a="1"/>
  <c r="L187" i="123" s="1"/>
  <c r="K187" i="123" a="1"/>
  <c r="K187" i="123" s="1"/>
  <c r="F187" i="123" a="1"/>
  <c r="F187" i="123" s="1"/>
  <c r="E187" i="123" a="1"/>
  <c r="E187" i="123" s="1"/>
  <c r="D187" i="123" a="1"/>
  <c r="D187" i="123" s="1"/>
  <c r="M186" i="123" a="1"/>
  <c r="M186" i="123" s="1"/>
  <c r="L186" i="123" a="1"/>
  <c r="L186" i="123" s="1"/>
  <c r="K186" i="123" a="1"/>
  <c r="K186" i="123" s="1"/>
  <c r="F186" i="123" a="1"/>
  <c r="F186" i="123" s="1"/>
  <c r="E186" i="123" a="1"/>
  <c r="E186" i="123" s="1"/>
  <c r="D186" i="123" a="1"/>
  <c r="D186" i="123" s="1"/>
  <c r="M185" i="123" a="1"/>
  <c r="M185" i="123" s="1"/>
  <c r="L185" i="123" a="1"/>
  <c r="L185" i="123" s="1"/>
  <c r="K185" i="123" a="1"/>
  <c r="K185" i="123" s="1"/>
  <c r="F185" i="123" a="1"/>
  <c r="F185" i="123" s="1"/>
  <c r="E185" i="123" a="1"/>
  <c r="E185" i="123" s="1"/>
  <c r="D185" i="123"/>
  <c r="D185" i="123" a="1"/>
  <c r="M184" i="123" a="1"/>
  <c r="M184" i="123" s="1"/>
  <c r="L184" i="123" a="1"/>
  <c r="L184" i="123" s="1"/>
  <c r="K184" i="123" a="1"/>
  <c r="K184" i="123" s="1"/>
  <c r="F184" i="123" a="1"/>
  <c r="F184" i="123" s="1"/>
  <c r="E184" i="123" a="1"/>
  <c r="E184" i="123" s="1"/>
  <c r="D184" i="123" a="1"/>
  <c r="D184" i="123" s="1"/>
  <c r="M183" i="123" a="1"/>
  <c r="M183" i="123" s="1"/>
  <c r="L183" i="123" a="1"/>
  <c r="L183" i="123" s="1"/>
  <c r="K183" i="123" a="1"/>
  <c r="K183" i="123" s="1"/>
  <c r="F183" i="123" a="1"/>
  <c r="F183" i="123" s="1"/>
  <c r="E183" i="123" a="1"/>
  <c r="E183" i="123" s="1"/>
  <c r="D183" i="123" a="1"/>
  <c r="D183" i="123" s="1"/>
  <c r="M182" i="123" a="1"/>
  <c r="M182" i="123" s="1"/>
  <c r="L182" i="123" a="1"/>
  <c r="L182" i="123" s="1"/>
  <c r="K182" i="123" a="1"/>
  <c r="K182" i="123" s="1"/>
  <c r="F182" i="123" a="1"/>
  <c r="F182" i="123" s="1"/>
  <c r="E182" i="123" a="1"/>
  <c r="E182" i="123" s="1"/>
  <c r="D182" i="123" a="1"/>
  <c r="D182" i="123" s="1"/>
  <c r="M181" i="123" a="1"/>
  <c r="M181" i="123" s="1"/>
  <c r="L181" i="123" a="1"/>
  <c r="L181" i="123" s="1"/>
  <c r="K181" i="123" a="1"/>
  <c r="K181" i="123" s="1"/>
  <c r="F181" i="123" a="1"/>
  <c r="F181" i="123" s="1"/>
  <c r="E181" i="123" a="1"/>
  <c r="E181" i="123" s="1"/>
  <c r="D181" i="123" a="1"/>
  <c r="D181" i="123" s="1"/>
  <c r="M180" i="123" a="1"/>
  <c r="M180" i="123" s="1"/>
  <c r="L180" i="123" a="1"/>
  <c r="L180" i="123" s="1"/>
  <c r="K180" i="123" a="1"/>
  <c r="K180" i="123" s="1"/>
  <c r="F180" i="123" a="1"/>
  <c r="F180" i="123" s="1"/>
  <c r="E180" i="123" a="1"/>
  <c r="E180" i="123" s="1"/>
  <c r="D180" i="123" a="1"/>
  <c r="D180" i="123" s="1"/>
  <c r="M179" i="123" a="1"/>
  <c r="M179" i="123" s="1"/>
  <c r="L179" i="123" a="1"/>
  <c r="L179" i="123" s="1"/>
  <c r="K179" i="123" a="1"/>
  <c r="K179" i="123" s="1"/>
  <c r="F179" i="123" a="1"/>
  <c r="F179" i="123" s="1"/>
  <c r="E179" i="123" a="1"/>
  <c r="E179" i="123" s="1"/>
  <c r="D179" i="123"/>
  <c r="D179" i="123" a="1"/>
  <c r="M178" i="123" a="1"/>
  <c r="M178" i="123" s="1"/>
  <c r="L178" i="123" a="1"/>
  <c r="L178" i="123" s="1"/>
  <c r="K178" i="123" a="1"/>
  <c r="K178" i="123" s="1"/>
  <c r="F178" i="123" a="1"/>
  <c r="F178" i="123" s="1"/>
  <c r="E178" i="123" a="1"/>
  <c r="E178" i="123" s="1"/>
  <c r="D178" i="123" a="1"/>
  <c r="D178" i="123" s="1"/>
  <c r="M177" i="123" a="1"/>
  <c r="M177" i="123" s="1"/>
  <c r="L177" i="123" a="1"/>
  <c r="L177" i="123" s="1"/>
  <c r="K177" i="123" a="1"/>
  <c r="K177" i="123" s="1"/>
  <c r="F177" i="123" a="1"/>
  <c r="F177" i="123" s="1"/>
  <c r="E177" i="123" a="1"/>
  <c r="E177" i="123" s="1"/>
  <c r="D177" i="123" a="1"/>
  <c r="D177" i="123" s="1"/>
  <c r="M176" i="123" a="1"/>
  <c r="M176" i="123" s="1"/>
  <c r="L176" i="123" a="1"/>
  <c r="L176" i="123" s="1"/>
  <c r="K176" i="123" a="1"/>
  <c r="K176" i="123" s="1"/>
  <c r="F176" i="123" a="1"/>
  <c r="F176" i="123" s="1"/>
  <c r="E176" i="123" a="1"/>
  <c r="E176" i="123" s="1"/>
  <c r="D176" i="123" a="1"/>
  <c r="D176" i="123" s="1"/>
  <c r="M175" i="123" a="1"/>
  <c r="M175" i="123" s="1"/>
  <c r="L175" i="123" a="1"/>
  <c r="L175" i="123" s="1"/>
  <c r="K175" i="123" a="1"/>
  <c r="K175" i="123" s="1"/>
  <c r="F175" i="123" a="1"/>
  <c r="F175" i="123" s="1"/>
  <c r="E175" i="123" a="1"/>
  <c r="E175" i="123" s="1"/>
  <c r="D175" i="123" a="1"/>
  <c r="D175" i="123" s="1"/>
  <c r="M174" i="123" a="1"/>
  <c r="M174" i="123" s="1"/>
  <c r="L174" i="123" a="1"/>
  <c r="L174" i="123" s="1"/>
  <c r="K174" i="123" a="1"/>
  <c r="K174" i="123" s="1"/>
  <c r="F174" i="123" a="1"/>
  <c r="F174" i="123" s="1"/>
  <c r="E174" i="123" a="1"/>
  <c r="E174" i="123" s="1"/>
  <c r="D174" i="123" a="1"/>
  <c r="D174" i="123" s="1"/>
  <c r="I170" i="123" a="1"/>
  <c r="I170" i="123" s="1"/>
  <c r="H170" i="123" a="1"/>
  <c r="H170" i="123" s="1"/>
  <c r="G170" i="123" a="1"/>
  <c r="G170" i="123" s="1"/>
  <c r="F170" i="123" a="1"/>
  <c r="F170" i="123" s="1"/>
  <c r="E170" i="123" a="1"/>
  <c r="E170" i="123" s="1"/>
  <c r="D170" i="123" a="1"/>
  <c r="D170" i="123" s="1"/>
  <c r="I169" i="123" a="1"/>
  <c r="I169" i="123" s="1"/>
  <c r="H169" i="123" a="1"/>
  <c r="H169" i="123" s="1"/>
  <c r="G169" i="123" a="1"/>
  <c r="G169" i="123" s="1"/>
  <c r="F169" i="123" a="1"/>
  <c r="F169" i="123" s="1"/>
  <c r="E169" i="123" a="1"/>
  <c r="E169" i="123" s="1"/>
  <c r="D169" i="123" a="1"/>
  <c r="D169" i="123" s="1"/>
  <c r="I168" i="123" a="1"/>
  <c r="I168" i="123" s="1"/>
  <c r="H168" i="123" a="1"/>
  <c r="H168" i="123" s="1"/>
  <c r="G168" i="123" a="1"/>
  <c r="G168" i="123" s="1"/>
  <c r="F168" i="123" a="1"/>
  <c r="F168" i="123" s="1"/>
  <c r="E168" i="123" a="1"/>
  <c r="E168" i="123" s="1"/>
  <c r="D168" i="123" a="1"/>
  <c r="D168" i="123" s="1"/>
  <c r="I165" i="123" a="1"/>
  <c r="I165" i="123" s="1"/>
  <c r="H165" i="123" a="1"/>
  <c r="H165" i="123" s="1"/>
  <c r="G165" i="123" a="1"/>
  <c r="G165" i="123" s="1"/>
  <c r="F165" i="123" a="1"/>
  <c r="F165" i="123" s="1"/>
  <c r="E165" i="123" a="1"/>
  <c r="E165" i="123" s="1"/>
  <c r="D165" i="123" a="1"/>
  <c r="D165" i="123" s="1"/>
  <c r="I164" i="123" a="1"/>
  <c r="I164" i="123" s="1"/>
  <c r="H164" i="123" a="1"/>
  <c r="H164" i="123" s="1"/>
  <c r="G164" i="123" a="1"/>
  <c r="G164" i="123" s="1"/>
  <c r="F164" i="123" a="1"/>
  <c r="F164" i="123" s="1"/>
  <c r="E164" i="123" a="1"/>
  <c r="E164" i="123" s="1"/>
  <c r="D164" i="123" a="1"/>
  <c r="D164" i="123" s="1"/>
  <c r="I163" i="123" a="1"/>
  <c r="I163" i="123" s="1"/>
  <c r="H163" i="123" a="1"/>
  <c r="H163" i="123" s="1"/>
  <c r="G163" i="123" a="1"/>
  <c r="G163" i="123" s="1"/>
  <c r="F163" i="123" a="1"/>
  <c r="F163" i="123" s="1"/>
  <c r="E163" i="123" a="1"/>
  <c r="E163" i="123" s="1"/>
  <c r="D163" i="123" a="1"/>
  <c r="D163" i="123" s="1"/>
  <c r="I162" i="123" a="1"/>
  <c r="I162" i="123" s="1"/>
  <c r="H162" i="123" a="1"/>
  <c r="H162" i="123" s="1"/>
  <c r="G162" i="123" a="1"/>
  <c r="G162" i="123" s="1"/>
  <c r="F162" i="123" a="1"/>
  <c r="F162" i="123" s="1"/>
  <c r="E162" i="123" a="1"/>
  <c r="E162" i="123" s="1"/>
  <c r="D162" i="123" a="1"/>
  <c r="D162" i="123" s="1"/>
  <c r="I158" i="123" a="1"/>
  <c r="I158" i="123" s="1"/>
  <c r="H158" i="123" a="1"/>
  <c r="H158" i="123" s="1"/>
  <c r="G158" i="123" a="1"/>
  <c r="G158" i="123" s="1"/>
  <c r="F158" i="123" a="1"/>
  <c r="F158" i="123" s="1"/>
  <c r="P158" i="123" s="1"/>
  <c r="E158" i="123" a="1"/>
  <c r="E158" i="123" s="1"/>
  <c r="O158" i="123" s="1"/>
  <c r="Q157" i="123" s="1"/>
  <c r="D158" i="123" a="1"/>
  <c r="D158" i="123" s="1"/>
  <c r="I157" i="123" a="1"/>
  <c r="I157" i="123" s="1"/>
  <c r="H157" i="123" a="1"/>
  <c r="H157" i="123" s="1"/>
  <c r="G157" i="123" a="1"/>
  <c r="G157" i="123" s="1"/>
  <c r="F157" i="123" a="1"/>
  <c r="F157" i="123" s="1"/>
  <c r="M157" i="123" s="1"/>
  <c r="E157" i="123" a="1"/>
  <c r="E157" i="123" s="1"/>
  <c r="L157" i="123" s="1"/>
  <c r="N156" i="123" s="1"/>
  <c r="D157" i="123" a="1"/>
  <c r="D157" i="123" s="1"/>
  <c r="I156" i="123" a="1"/>
  <c r="I156" i="123" s="1"/>
  <c r="H156" i="123" a="1"/>
  <c r="H156" i="123" s="1"/>
  <c r="G156" i="123" a="1"/>
  <c r="G156" i="123" s="1"/>
  <c r="F156" i="123" a="1"/>
  <c r="F156" i="123" s="1"/>
  <c r="P156" i="123" s="1"/>
  <c r="E156" i="123" a="1"/>
  <c r="E156" i="123" s="1"/>
  <c r="O156" i="123" s="1"/>
  <c r="Q155" i="123" s="1"/>
  <c r="D156" i="123" a="1"/>
  <c r="D156" i="123" s="1"/>
  <c r="I155" i="123" a="1"/>
  <c r="I155" i="123" s="1"/>
  <c r="H155" i="123" a="1"/>
  <c r="H155" i="123" s="1"/>
  <c r="G155" i="123" a="1"/>
  <c r="G155" i="123" s="1"/>
  <c r="F155" i="123" a="1"/>
  <c r="F155" i="123" s="1"/>
  <c r="M155" i="123" s="1"/>
  <c r="E155" i="123" a="1"/>
  <c r="E155" i="123" s="1"/>
  <c r="L155" i="123" s="1"/>
  <c r="N154" i="123" s="1"/>
  <c r="D155" i="123" a="1"/>
  <c r="D155" i="123" s="1"/>
  <c r="I154" i="123" a="1"/>
  <c r="I154" i="123" s="1"/>
  <c r="H154" i="123" a="1"/>
  <c r="H154" i="123" s="1"/>
  <c r="G154" i="123" a="1"/>
  <c r="G154" i="123" s="1"/>
  <c r="F154" i="123" a="1"/>
  <c r="F154" i="123" s="1"/>
  <c r="P154" i="123" s="1"/>
  <c r="E154" i="123" a="1"/>
  <c r="E154" i="123" s="1"/>
  <c r="O154" i="123" s="1"/>
  <c r="Q153" i="123" s="1"/>
  <c r="D154" i="123" a="1"/>
  <c r="D154" i="123" s="1"/>
  <c r="I153" i="123" a="1"/>
  <c r="I153" i="123" s="1"/>
  <c r="H153" i="123" a="1"/>
  <c r="H153" i="123" s="1"/>
  <c r="G153" i="123" a="1"/>
  <c r="G153" i="123" s="1"/>
  <c r="F153" i="123" a="1"/>
  <c r="F153" i="123" s="1"/>
  <c r="M153" i="123" s="1"/>
  <c r="E153" i="123" a="1"/>
  <c r="E153" i="123" s="1"/>
  <c r="L153" i="123" s="1"/>
  <c r="N152" i="123" s="1"/>
  <c r="D153" i="123" a="1"/>
  <c r="D153" i="123" s="1"/>
  <c r="I152" i="123" a="1"/>
  <c r="I152" i="123" s="1"/>
  <c r="H152" i="123" a="1"/>
  <c r="H152" i="123" s="1"/>
  <c r="G152" i="123" a="1"/>
  <c r="G152" i="123" s="1"/>
  <c r="F152" i="123" a="1"/>
  <c r="F152" i="123" s="1"/>
  <c r="P152" i="123" s="1"/>
  <c r="E152" i="123" a="1"/>
  <c r="E152" i="123" s="1"/>
  <c r="O152" i="123" s="1"/>
  <c r="Q151" i="123" s="1"/>
  <c r="D152" i="123" a="1"/>
  <c r="D152" i="123" s="1"/>
  <c r="I151" i="123" a="1"/>
  <c r="I151" i="123" s="1"/>
  <c r="H151" i="123" a="1"/>
  <c r="H151" i="123" s="1"/>
  <c r="G151" i="123" a="1"/>
  <c r="G151" i="123" s="1"/>
  <c r="F151" i="123" a="1"/>
  <c r="F151" i="123" s="1"/>
  <c r="M151" i="123" s="1"/>
  <c r="E151" i="123" a="1"/>
  <c r="E151" i="123" s="1"/>
  <c r="L151" i="123" s="1"/>
  <c r="N150" i="123" s="1"/>
  <c r="D151" i="123" a="1"/>
  <c r="D151" i="123" s="1"/>
  <c r="I150" i="123" a="1"/>
  <c r="I150" i="123" s="1"/>
  <c r="H150" i="123" a="1"/>
  <c r="H150" i="123" s="1"/>
  <c r="G150" i="123" a="1"/>
  <c r="G150" i="123" s="1"/>
  <c r="F150" i="123" a="1"/>
  <c r="F150" i="123" s="1"/>
  <c r="P150" i="123" s="1"/>
  <c r="E150" i="123" a="1"/>
  <c r="E150" i="123" s="1"/>
  <c r="O150" i="123" s="1"/>
  <c r="D150" i="123" a="1"/>
  <c r="D150" i="123" s="1"/>
  <c r="I149" i="123" a="1"/>
  <c r="I149" i="123" s="1"/>
  <c r="H149" i="123" a="1"/>
  <c r="H149" i="123" s="1"/>
  <c r="G149" i="123" a="1"/>
  <c r="G149" i="123" s="1"/>
  <c r="F149" i="123" a="1"/>
  <c r="F149" i="123" s="1"/>
  <c r="P149" i="123" s="1"/>
  <c r="E149" i="123" a="1"/>
  <c r="E149" i="123" s="1"/>
  <c r="O149" i="123" s="1"/>
  <c r="D149" i="123" a="1"/>
  <c r="D149" i="123" s="1"/>
  <c r="I148" i="123" a="1"/>
  <c r="I148" i="123" s="1"/>
  <c r="H148" i="123" a="1"/>
  <c r="H148" i="123" s="1"/>
  <c r="G148" i="123" a="1"/>
  <c r="G148" i="123" s="1"/>
  <c r="F148" i="123" a="1"/>
  <c r="F148" i="123" s="1"/>
  <c r="P148" i="123" s="1"/>
  <c r="E148" i="123" a="1"/>
  <c r="E148" i="123" s="1"/>
  <c r="O148" i="123" s="1"/>
  <c r="D148" i="123" a="1"/>
  <c r="D148" i="123" s="1"/>
  <c r="I147" i="123" a="1"/>
  <c r="I147" i="123" s="1"/>
  <c r="H147" i="123" a="1"/>
  <c r="H147" i="123" s="1"/>
  <c r="G147" i="123" a="1"/>
  <c r="G147" i="123" s="1"/>
  <c r="F147" i="123" a="1"/>
  <c r="F147" i="123" s="1"/>
  <c r="P147" i="123" s="1"/>
  <c r="E147" i="123" a="1"/>
  <c r="E147" i="123" s="1"/>
  <c r="O147" i="123" s="1"/>
  <c r="D147" i="123" a="1"/>
  <c r="D147" i="123" s="1"/>
  <c r="I146" i="123" a="1"/>
  <c r="I146" i="123" s="1"/>
  <c r="H146" i="123" a="1"/>
  <c r="H146" i="123" s="1"/>
  <c r="G146" i="123" a="1"/>
  <c r="G146" i="123" s="1"/>
  <c r="F146" i="123" a="1"/>
  <c r="F146" i="123" s="1"/>
  <c r="P146" i="123" s="1"/>
  <c r="E146" i="123" a="1"/>
  <c r="E146" i="123" s="1"/>
  <c r="O146" i="123" s="1"/>
  <c r="D146" i="123" a="1"/>
  <c r="D146" i="123" s="1"/>
  <c r="I145" i="123" a="1"/>
  <c r="I145" i="123" s="1"/>
  <c r="H145" i="123" a="1"/>
  <c r="H145" i="123" s="1"/>
  <c r="G145" i="123" a="1"/>
  <c r="G145" i="123" s="1"/>
  <c r="F145" i="123" a="1"/>
  <c r="F145" i="123" s="1"/>
  <c r="P145" i="123" s="1"/>
  <c r="E145" i="123" a="1"/>
  <c r="E145" i="123" s="1"/>
  <c r="O145" i="123" s="1"/>
  <c r="D145" i="123" a="1"/>
  <c r="D145" i="123" s="1"/>
  <c r="I144" i="123" a="1"/>
  <c r="I144" i="123" s="1"/>
  <c r="H144" i="123" a="1"/>
  <c r="H144" i="123" s="1"/>
  <c r="G144" i="123" a="1"/>
  <c r="G144" i="123" s="1"/>
  <c r="F144" i="123" a="1"/>
  <c r="F144" i="123" s="1"/>
  <c r="P144" i="123" s="1"/>
  <c r="E144" i="123" a="1"/>
  <c r="E144" i="123" s="1"/>
  <c r="O144" i="123" s="1"/>
  <c r="Q143" i="123" s="1"/>
  <c r="D144" i="123" a="1"/>
  <c r="D144" i="123" s="1"/>
  <c r="I143" i="123" a="1"/>
  <c r="I143" i="123" s="1"/>
  <c r="H143" i="123" a="1"/>
  <c r="H143" i="123" s="1"/>
  <c r="G143" i="123" a="1"/>
  <c r="G143" i="123" s="1"/>
  <c r="F143" i="123" a="1"/>
  <c r="F143" i="123" s="1"/>
  <c r="M143" i="123" s="1"/>
  <c r="E143" i="123" a="1"/>
  <c r="E143" i="123" s="1"/>
  <c r="L143" i="123" s="1"/>
  <c r="D143" i="123" a="1"/>
  <c r="D143" i="123" s="1"/>
  <c r="I142" i="123" a="1"/>
  <c r="I142" i="123" s="1"/>
  <c r="H142" i="123" a="1"/>
  <c r="H142" i="123" s="1"/>
  <c r="G142" i="123" a="1"/>
  <c r="G142" i="123" s="1"/>
  <c r="F142" i="123" a="1"/>
  <c r="F142" i="123" s="1"/>
  <c r="M142" i="123" s="1"/>
  <c r="E142" i="123" a="1"/>
  <c r="E142" i="123" s="1"/>
  <c r="L142" i="123" s="1"/>
  <c r="D142" i="123" a="1"/>
  <c r="D142" i="123" s="1"/>
  <c r="I141" i="123" a="1"/>
  <c r="I141" i="123" s="1"/>
  <c r="H141" i="123" a="1"/>
  <c r="H141" i="123" s="1"/>
  <c r="G141" i="123" a="1"/>
  <c r="G141" i="123" s="1"/>
  <c r="F141" i="123" a="1"/>
  <c r="F141" i="123" s="1"/>
  <c r="M141" i="123" s="1"/>
  <c r="E141" i="123" a="1"/>
  <c r="E141" i="123" s="1"/>
  <c r="L141" i="123" s="1"/>
  <c r="D141" i="123" a="1"/>
  <c r="D141" i="123" s="1"/>
  <c r="I140" i="123" a="1"/>
  <c r="I140" i="123" s="1"/>
  <c r="H140" i="123" a="1"/>
  <c r="H140" i="123" s="1"/>
  <c r="G140" i="123" a="1"/>
  <c r="G140" i="123" s="1"/>
  <c r="F140" i="123" a="1"/>
  <c r="F140" i="123" s="1"/>
  <c r="M140" i="123" s="1"/>
  <c r="E140" i="123" a="1"/>
  <c r="E140" i="123" s="1"/>
  <c r="L140" i="123" s="1"/>
  <c r="D140" i="123" a="1"/>
  <c r="D140" i="123" s="1"/>
  <c r="I139" i="123" a="1"/>
  <c r="I139" i="123" s="1"/>
  <c r="H139" i="123" a="1"/>
  <c r="H139" i="123" s="1"/>
  <c r="G139" i="123" a="1"/>
  <c r="G139" i="123" s="1"/>
  <c r="F139" i="123"/>
  <c r="M139" i="123" s="1"/>
  <c r="F139" i="123" a="1"/>
  <c r="E139" i="123" a="1"/>
  <c r="E139" i="123" s="1"/>
  <c r="L139" i="123" s="1"/>
  <c r="D139" i="123" a="1"/>
  <c r="D139" i="123" s="1"/>
  <c r="I138" i="123" a="1"/>
  <c r="I138" i="123" s="1"/>
  <c r="H138" i="123" a="1"/>
  <c r="H138" i="123" s="1"/>
  <c r="G138" i="123" a="1"/>
  <c r="G138" i="123" s="1"/>
  <c r="F138" i="123" a="1"/>
  <c r="F138" i="123" s="1"/>
  <c r="M138" i="123" s="1"/>
  <c r="E138" i="123" a="1"/>
  <c r="E138" i="123" s="1"/>
  <c r="L138" i="123" s="1"/>
  <c r="N137" i="123" s="1"/>
  <c r="D138" i="123" a="1"/>
  <c r="D138" i="123" s="1"/>
  <c r="I137" i="123" a="1"/>
  <c r="I137" i="123" s="1"/>
  <c r="H137" i="123" a="1"/>
  <c r="H137" i="123" s="1"/>
  <c r="G137" i="123" a="1"/>
  <c r="G137" i="123" s="1"/>
  <c r="F137" i="123" a="1"/>
  <c r="F137" i="123" s="1"/>
  <c r="P137" i="123" s="1"/>
  <c r="E137" i="123" a="1"/>
  <c r="E137" i="123" s="1"/>
  <c r="O137" i="123" s="1"/>
  <c r="D137" i="123" a="1"/>
  <c r="D137" i="123" s="1"/>
  <c r="I136" i="123" a="1"/>
  <c r="I136" i="123" s="1"/>
  <c r="H136" i="123" a="1"/>
  <c r="H136" i="123" s="1"/>
  <c r="G136" i="123" a="1"/>
  <c r="G136" i="123" s="1"/>
  <c r="F136" i="123" a="1"/>
  <c r="F136" i="123" s="1"/>
  <c r="P136" i="123" s="1"/>
  <c r="E136" i="123" a="1"/>
  <c r="E136" i="123" s="1"/>
  <c r="O136" i="123" s="1"/>
  <c r="D136" i="123" a="1"/>
  <c r="D136" i="123" s="1"/>
  <c r="I135" i="123" a="1"/>
  <c r="I135" i="123" s="1"/>
  <c r="H135" i="123" a="1"/>
  <c r="H135" i="123" s="1"/>
  <c r="G135" i="123" a="1"/>
  <c r="G135" i="123" s="1"/>
  <c r="F135" i="123" a="1"/>
  <c r="F135" i="123" s="1"/>
  <c r="P135" i="123" s="1"/>
  <c r="E135" i="123" a="1"/>
  <c r="E135" i="123" s="1"/>
  <c r="O135" i="123" s="1"/>
  <c r="D135" i="123" a="1"/>
  <c r="D135" i="123" s="1"/>
  <c r="I134" i="123" a="1"/>
  <c r="I134" i="123" s="1"/>
  <c r="H134" i="123" a="1"/>
  <c r="H134" i="123" s="1"/>
  <c r="G134" i="123" a="1"/>
  <c r="G134" i="123" s="1"/>
  <c r="F134" i="123" a="1"/>
  <c r="F134" i="123" s="1"/>
  <c r="P134" i="123" s="1"/>
  <c r="E134" i="123" a="1"/>
  <c r="E134" i="123" s="1"/>
  <c r="O134" i="123" s="1"/>
  <c r="D134" i="123" a="1"/>
  <c r="D134" i="123" s="1"/>
  <c r="I133" i="123" a="1"/>
  <c r="I133" i="123" s="1"/>
  <c r="H133" i="123" a="1"/>
  <c r="H133" i="123" s="1"/>
  <c r="G133" i="123" a="1"/>
  <c r="G133" i="123" s="1"/>
  <c r="F133" i="123" a="1"/>
  <c r="F133" i="123" s="1"/>
  <c r="P133" i="123" s="1"/>
  <c r="E133" i="123" a="1"/>
  <c r="E133" i="123" s="1"/>
  <c r="O133" i="123" s="1"/>
  <c r="D133" i="123" a="1"/>
  <c r="D133" i="123" s="1"/>
  <c r="I132" i="123" a="1"/>
  <c r="I132" i="123" s="1"/>
  <c r="H132" i="123" a="1"/>
  <c r="H132" i="123" s="1"/>
  <c r="G132" i="123" a="1"/>
  <c r="G132" i="123" s="1"/>
  <c r="F132" i="123" a="1"/>
  <c r="F132" i="123" s="1"/>
  <c r="P132" i="123" s="1"/>
  <c r="E132" i="123" a="1"/>
  <c r="E132" i="123" s="1"/>
  <c r="O132" i="123" s="1"/>
  <c r="D132" i="123" a="1"/>
  <c r="D132" i="123" s="1"/>
  <c r="I131" i="123" a="1"/>
  <c r="I131" i="123" s="1"/>
  <c r="H131" i="123" a="1"/>
  <c r="H131" i="123" s="1"/>
  <c r="G131" i="123" a="1"/>
  <c r="G131" i="123" s="1"/>
  <c r="F131" i="123" a="1"/>
  <c r="F131" i="123" s="1"/>
  <c r="P131" i="123" s="1"/>
  <c r="E131" i="123" a="1"/>
  <c r="E131" i="123" s="1"/>
  <c r="O131" i="123" s="1"/>
  <c r="Q130" i="123" s="1"/>
  <c r="D131" i="123" a="1"/>
  <c r="D131" i="123" s="1"/>
  <c r="I130" i="123" a="1"/>
  <c r="I130" i="123" s="1"/>
  <c r="H130" i="123" a="1"/>
  <c r="H130" i="123" s="1"/>
  <c r="G130" i="123" a="1"/>
  <c r="G130" i="123" s="1"/>
  <c r="F130" i="123" a="1"/>
  <c r="F130" i="123" s="1"/>
  <c r="M130" i="123" s="1"/>
  <c r="E130" i="123" a="1"/>
  <c r="E130" i="123" s="1"/>
  <c r="L130" i="123" s="1"/>
  <c r="D130" i="123" a="1"/>
  <c r="D130" i="123" s="1"/>
  <c r="I129" i="123" a="1"/>
  <c r="I129" i="123" s="1"/>
  <c r="H129" i="123" a="1"/>
  <c r="H129" i="123" s="1"/>
  <c r="G129" i="123" a="1"/>
  <c r="G129" i="123" s="1"/>
  <c r="F129" i="123" a="1"/>
  <c r="F129" i="123" s="1"/>
  <c r="M129" i="123" s="1"/>
  <c r="E129" i="123" a="1"/>
  <c r="E129" i="123" s="1"/>
  <c r="L129" i="123" s="1"/>
  <c r="D129" i="123" a="1"/>
  <c r="D129" i="123" s="1"/>
  <c r="I128" i="123" a="1"/>
  <c r="I128" i="123" s="1"/>
  <c r="H128" i="123" a="1"/>
  <c r="H128" i="123" s="1"/>
  <c r="G128" i="123" a="1"/>
  <c r="G128" i="123" s="1"/>
  <c r="F128" i="123" a="1"/>
  <c r="F128" i="123" s="1"/>
  <c r="M128" i="123" s="1"/>
  <c r="E128" i="123" a="1"/>
  <c r="E128" i="123" s="1"/>
  <c r="L128" i="123" s="1"/>
  <c r="D128" i="123" a="1"/>
  <c r="D128" i="123" s="1"/>
  <c r="I127" i="123" a="1"/>
  <c r="I127" i="123" s="1"/>
  <c r="H127" i="123" a="1"/>
  <c r="H127" i="123" s="1"/>
  <c r="G127" i="123" a="1"/>
  <c r="G127" i="123" s="1"/>
  <c r="F127" i="123" a="1"/>
  <c r="F127" i="123" s="1"/>
  <c r="M127" i="123" s="1"/>
  <c r="E127" i="123" a="1"/>
  <c r="E127" i="123" s="1"/>
  <c r="L127" i="123" s="1"/>
  <c r="D127" i="123" a="1"/>
  <c r="D127" i="123" s="1"/>
  <c r="I126" i="123" a="1"/>
  <c r="I126" i="123" s="1"/>
  <c r="H126" i="123" a="1"/>
  <c r="H126" i="123" s="1"/>
  <c r="G126" i="123" a="1"/>
  <c r="G126" i="123" s="1"/>
  <c r="F126" i="123" a="1"/>
  <c r="F126" i="123" s="1"/>
  <c r="M126" i="123" s="1"/>
  <c r="E126" i="123" a="1"/>
  <c r="E126" i="123" s="1"/>
  <c r="L126" i="123" s="1"/>
  <c r="D126" i="123" a="1"/>
  <c r="D126" i="123" s="1"/>
  <c r="I125" i="123" a="1"/>
  <c r="I125" i="123" s="1"/>
  <c r="H125" i="123" a="1"/>
  <c r="H125" i="123" s="1"/>
  <c r="G125" i="123" a="1"/>
  <c r="G125" i="123" s="1"/>
  <c r="F125" i="123" a="1"/>
  <c r="F125" i="123" s="1"/>
  <c r="M125" i="123" s="1"/>
  <c r="E125" i="123" a="1"/>
  <c r="E125" i="123" s="1"/>
  <c r="L125" i="123" s="1"/>
  <c r="N124" i="123" s="1"/>
  <c r="D125" i="123" a="1"/>
  <c r="D125" i="123" s="1"/>
  <c r="I124" i="123" a="1"/>
  <c r="I124" i="123" s="1"/>
  <c r="H124" i="123" a="1"/>
  <c r="H124" i="123" s="1"/>
  <c r="G124" i="123" a="1"/>
  <c r="G124" i="123" s="1"/>
  <c r="F124" i="123" a="1"/>
  <c r="F124" i="123" s="1"/>
  <c r="P124" i="123" s="1"/>
  <c r="E124" i="123" a="1"/>
  <c r="E124" i="123" s="1"/>
  <c r="O124" i="123" s="1"/>
  <c r="D124" i="123" a="1"/>
  <c r="D124" i="123" s="1"/>
  <c r="I123" i="123" a="1"/>
  <c r="I123" i="123" s="1"/>
  <c r="H123" i="123" a="1"/>
  <c r="H123" i="123" s="1"/>
  <c r="G123" i="123" a="1"/>
  <c r="G123" i="123" s="1"/>
  <c r="F123" i="123" a="1"/>
  <c r="F123" i="123" s="1"/>
  <c r="P123" i="123" s="1"/>
  <c r="E123" i="123" a="1"/>
  <c r="E123" i="123" s="1"/>
  <c r="O123" i="123" s="1"/>
  <c r="D123" i="123" a="1"/>
  <c r="D123" i="123" s="1"/>
  <c r="I122" i="123" a="1"/>
  <c r="I122" i="123" s="1"/>
  <c r="H122" i="123" a="1"/>
  <c r="H122" i="123" s="1"/>
  <c r="G122" i="123" a="1"/>
  <c r="G122" i="123" s="1"/>
  <c r="F122" i="123" a="1"/>
  <c r="F122" i="123" s="1"/>
  <c r="P122" i="123" s="1"/>
  <c r="E122" i="123" a="1"/>
  <c r="E122" i="123" s="1"/>
  <c r="O122" i="123" s="1"/>
  <c r="D122" i="123" a="1"/>
  <c r="D122" i="123" s="1"/>
  <c r="I121" i="123" a="1"/>
  <c r="I121" i="123" s="1"/>
  <c r="H121" i="123" a="1"/>
  <c r="H121" i="123" s="1"/>
  <c r="G121" i="123" a="1"/>
  <c r="G121" i="123" s="1"/>
  <c r="F121" i="123" a="1"/>
  <c r="F121" i="123" s="1"/>
  <c r="P121" i="123" s="1"/>
  <c r="E121" i="123" a="1"/>
  <c r="E121" i="123" s="1"/>
  <c r="O121" i="123" s="1"/>
  <c r="D121" i="123" a="1"/>
  <c r="D121" i="123" s="1"/>
  <c r="I120" i="123" a="1"/>
  <c r="I120" i="123" s="1"/>
  <c r="H120" i="123" a="1"/>
  <c r="H120" i="123" s="1"/>
  <c r="G120" i="123" a="1"/>
  <c r="G120" i="123" s="1"/>
  <c r="F120" i="123" a="1"/>
  <c r="F120" i="123" s="1"/>
  <c r="P120" i="123" s="1"/>
  <c r="E120" i="123" a="1"/>
  <c r="E120" i="123" s="1"/>
  <c r="O120" i="123" s="1"/>
  <c r="D120" i="123" a="1"/>
  <c r="D120" i="123" s="1"/>
  <c r="I119" i="123" a="1"/>
  <c r="I119" i="123" s="1"/>
  <c r="H119" i="123" a="1"/>
  <c r="H119" i="123" s="1"/>
  <c r="G119" i="123" a="1"/>
  <c r="G119" i="123" s="1"/>
  <c r="F119" i="123" a="1"/>
  <c r="F119" i="123" s="1"/>
  <c r="P119" i="123" s="1"/>
  <c r="E119" i="123" a="1"/>
  <c r="E119" i="123" s="1"/>
  <c r="O119" i="123" s="1"/>
  <c r="D119" i="123" a="1"/>
  <c r="D119" i="123" s="1"/>
  <c r="I118" i="123" a="1"/>
  <c r="I118" i="123" s="1"/>
  <c r="H118" i="123" a="1"/>
  <c r="H118" i="123" s="1"/>
  <c r="G118" i="123" a="1"/>
  <c r="G118" i="123" s="1"/>
  <c r="F118" i="123" a="1"/>
  <c r="F118" i="123" s="1"/>
  <c r="P118" i="123" s="1"/>
  <c r="E118" i="123" a="1"/>
  <c r="E118" i="123" s="1"/>
  <c r="O118" i="123" s="1"/>
  <c r="Q117" i="123" s="1"/>
  <c r="D118" i="123" a="1"/>
  <c r="D118" i="123" s="1"/>
  <c r="I117" i="123" a="1"/>
  <c r="I117" i="123" s="1"/>
  <c r="H117" i="123" a="1"/>
  <c r="H117" i="123" s="1"/>
  <c r="G117" i="123" a="1"/>
  <c r="G117" i="123" s="1"/>
  <c r="F117" i="123" a="1"/>
  <c r="F117" i="123" s="1"/>
  <c r="M117" i="123" s="1"/>
  <c r="E117" i="123" a="1"/>
  <c r="E117" i="123" s="1"/>
  <c r="L117" i="123" s="1"/>
  <c r="D117" i="123" a="1"/>
  <c r="D117" i="123" s="1"/>
  <c r="I116" i="123" a="1"/>
  <c r="I116" i="123" s="1"/>
  <c r="H116" i="123" a="1"/>
  <c r="H116" i="123" s="1"/>
  <c r="G116" i="123" a="1"/>
  <c r="G116" i="123" s="1"/>
  <c r="F116" i="123" a="1"/>
  <c r="F116" i="123" s="1"/>
  <c r="M116" i="123" s="1"/>
  <c r="E116" i="123" a="1"/>
  <c r="E116" i="123" s="1"/>
  <c r="L116" i="123" s="1"/>
  <c r="D116" i="123" a="1"/>
  <c r="D116" i="123" s="1"/>
  <c r="I115" i="123" a="1"/>
  <c r="I115" i="123" s="1"/>
  <c r="H115" i="123" a="1"/>
  <c r="H115" i="123" s="1"/>
  <c r="G115" i="123" a="1"/>
  <c r="G115" i="123" s="1"/>
  <c r="F115" i="123" a="1"/>
  <c r="F115" i="123" s="1"/>
  <c r="M115" i="123" s="1"/>
  <c r="E115" i="123" a="1"/>
  <c r="E115" i="123" s="1"/>
  <c r="L115" i="123" s="1"/>
  <c r="D115" i="123" a="1"/>
  <c r="D115" i="123" s="1"/>
  <c r="I114" i="123" a="1"/>
  <c r="I114" i="123" s="1"/>
  <c r="H114" i="123" a="1"/>
  <c r="H114" i="123" s="1"/>
  <c r="G114" i="123" a="1"/>
  <c r="G114" i="123" s="1"/>
  <c r="F114" i="123" a="1"/>
  <c r="F114" i="123" s="1"/>
  <c r="M114" i="123" s="1"/>
  <c r="E114" i="123" a="1"/>
  <c r="E114" i="123" s="1"/>
  <c r="L114" i="123" s="1"/>
  <c r="D114" i="123" a="1"/>
  <c r="D114" i="123" s="1"/>
  <c r="I113" i="123" a="1"/>
  <c r="I113" i="123" s="1"/>
  <c r="H113" i="123" a="1"/>
  <c r="H113" i="123" s="1"/>
  <c r="G113" i="123" a="1"/>
  <c r="G113" i="123" s="1"/>
  <c r="F113" i="123" a="1"/>
  <c r="F113" i="123" s="1"/>
  <c r="M113" i="123" s="1"/>
  <c r="E113" i="123" a="1"/>
  <c r="E113" i="123" s="1"/>
  <c r="L113" i="123" s="1"/>
  <c r="D113" i="123" a="1"/>
  <c r="D113" i="123" s="1"/>
  <c r="I112" i="123" a="1"/>
  <c r="I112" i="123" s="1"/>
  <c r="H112" i="123" a="1"/>
  <c r="H112" i="123" s="1"/>
  <c r="G112" i="123" a="1"/>
  <c r="G112" i="123" s="1"/>
  <c r="F112" i="123" a="1"/>
  <c r="F112" i="123" s="1"/>
  <c r="M112" i="123" s="1"/>
  <c r="E112" i="123" a="1"/>
  <c r="E112" i="123" s="1"/>
  <c r="L112" i="123" s="1"/>
  <c r="D112" i="123" a="1"/>
  <c r="D112" i="123" s="1"/>
  <c r="I111" i="123" a="1"/>
  <c r="I111" i="123" s="1"/>
  <c r="H111" i="123" a="1"/>
  <c r="H111" i="123" s="1"/>
  <c r="G111" i="123" a="1"/>
  <c r="G111" i="123" s="1"/>
  <c r="F111" i="123" a="1"/>
  <c r="F111" i="123" s="1"/>
  <c r="M111" i="123" s="1"/>
  <c r="E111" i="123" a="1"/>
  <c r="E111" i="123" s="1"/>
  <c r="L111" i="123" s="1"/>
  <c r="D111" i="123" a="1"/>
  <c r="D111" i="123" s="1"/>
  <c r="I110" i="123" a="1"/>
  <c r="I110" i="123" s="1"/>
  <c r="H110" i="123" a="1"/>
  <c r="H110" i="123" s="1"/>
  <c r="G110" i="123" a="1"/>
  <c r="G110" i="123" s="1"/>
  <c r="F110" i="123" a="1"/>
  <c r="F110" i="123" s="1"/>
  <c r="M110" i="123" s="1"/>
  <c r="E110" i="123" a="1"/>
  <c r="E110" i="123" s="1"/>
  <c r="L110" i="123" s="1"/>
  <c r="N109" i="123" s="1"/>
  <c r="D110" i="123" a="1"/>
  <c r="D110" i="123" s="1"/>
  <c r="I109" i="123" a="1"/>
  <c r="I109" i="123" s="1"/>
  <c r="H109" i="123" a="1"/>
  <c r="H109" i="123" s="1"/>
  <c r="G109" i="123" a="1"/>
  <c r="G109" i="123" s="1"/>
  <c r="F109" i="123" a="1"/>
  <c r="F109" i="123" s="1"/>
  <c r="P109" i="123" s="1"/>
  <c r="E109" i="123" a="1"/>
  <c r="E109" i="123" s="1"/>
  <c r="O109" i="123" s="1"/>
  <c r="D109" i="123" a="1"/>
  <c r="D109" i="123" s="1"/>
  <c r="I108" i="123" a="1"/>
  <c r="I108" i="123" s="1"/>
  <c r="H108" i="123" a="1"/>
  <c r="H108" i="123" s="1"/>
  <c r="G108" i="123" a="1"/>
  <c r="G108" i="123" s="1"/>
  <c r="F108" i="123" a="1"/>
  <c r="F108" i="123" s="1"/>
  <c r="P108" i="123" s="1"/>
  <c r="E108" i="123" a="1"/>
  <c r="E108" i="123" s="1"/>
  <c r="O108" i="123" s="1"/>
  <c r="D108" i="123" a="1"/>
  <c r="D108" i="123" s="1"/>
  <c r="I107" i="123" a="1"/>
  <c r="I107" i="123" s="1"/>
  <c r="H107" i="123" a="1"/>
  <c r="H107" i="123" s="1"/>
  <c r="G107" i="123" a="1"/>
  <c r="G107" i="123" s="1"/>
  <c r="F107" i="123" a="1"/>
  <c r="F107" i="123" s="1"/>
  <c r="P107" i="123" s="1"/>
  <c r="E107" i="123" a="1"/>
  <c r="E107" i="123" s="1"/>
  <c r="O107" i="123" s="1"/>
  <c r="D107" i="123" a="1"/>
  <c r="D107" i="123" s="1"/>
  <c r="I106" i="123" a="1"/>
  <c r="I106" i="123" s="1"/>
  <c r="H106" i="123" a="1"/>
  <c r="H106" i="123" s="1"/>
  <c r="G106" i="123" a="1"/>
  <c r="G106" i="123" s="1"/>
  <c r="F106" i="123" a="1"/>
  <c r="F106" i="123" s="1"/>
  <c r="P106" i="123" s="1"/>
  <c r="E106" i="123" a="1"/>
  <c r="E106" i="123" s="1"/>
  <c r="O106" i="123" s="1"/>
  <c r="D106" i="123" a="1"/>
  <c r="D106" i="123" s="1"/>
  <c r="I105" i="123" a="1"/>
  <c r="I105" i="123" s="1"/>
  <c r="H105" i="123" a="1"/>
  <c r="H105" i="123" s="1"/>
  <c r="G105" i="123" a="1"/>
  <c r="G105" i="123" s="1"/>
  <c r="F105" i="123" a="1"/>
  <c r="F105" i="123" s="1"/>
  <c r="P105" i="123" s="1"/>
  <c r="E105" i="123" a="1"/>
  <c r="E105" i="123" s="1"/>
  <c r="O105" i="123" s="1"/>
  <c r="Q104" i="123" s="1"/>
  <c r="D105" i="123" a="1"/>
  <c r="D105" i="123" s="1"/>
  <c r="I104" i="123" a="1"/>
  <c r="I104" i="123" s="1"/>
  <c r="H104" i="123" a="1"/>
  <c r="H104" i="123" s="1"/>
  <c r="G104" i="123" a="1"/>
  <c r="G104" i="123" s="1"/>
  <c r="F104" i="123" a="1"/>
  <c r="F104" i="123" s="1"/>
  <c r="M104" i="123" s="1"/>
  <c r="E104" i="123" a="1"/>
  <c r="E104" i="123" s="1"/>
  <c r="L104" i="123" s="1"/>
  <c r="D104" i="123" a="1"/>
  <c r="D104" i="123" s="1"/>
  <c r="I103" i="123" a="1"/>
  <c r="I103" i="123" s="1"/>
  <c r="H103" i="123" a="1"/>
  <c r="H103" i="123" s="1"/>
  <c r="G103" i="123" a="1"/>
  <c r="G103" i="123" s="1"/>
  <c r="F103" i="123" a="1"/>
  <c r="F103" i="123" s="1"/>
  <c r="M103" i="123" s="1"/>
  <c r="E103" i="123" a="1"/>
  <c r="E103" i="123" s="1"/>
  <c r="L103" i="123" s="1"/>
  <c r="D103" i="123" a="1"/>
  <c r="D103" i="123" s="1"/>
  <c r="I102" i="123" a="1"/>
  <c r="I102" i="123" s="1"/>
  <c r="H102" i="123" a="1"/>
  <c r="H102" i="123" s="1"/>
  <c r="G102" i="123" a="1"/>
  <c r="G102" i="123" s="1"/>
  <c r="F102" i="123" a="1"/>
  <c r="F102" i="123" s="1"/>
  <c r="M102" i="123" s="1"/>
  <c r="E102" i="123" a="1"/>
  <c r="E102" i="123" s="1"/>
  <c r="L102" i="123" s="1"/>
  <c r="D102" i="123" a="1"/>
  <c r="D102" i="123" s="1"/>
  <c r="I101" i="123" a="1"/>
  <c r="I101" i="123" s="1"/>
  <c r="H101" i="123" a="1"/>
  <c r="H101" i="123" s="1"/>
  <c r="G101" i="123" a="1"/>
  <c r="G101" i="123" s="1"/>
  <c r="F101" i="123" a="1"/>
  <c r="F101" i="123" s="1"/>
  <c r="M101" i="123" s="1"/>
  <c r="E101" i="123" a="1"/>
  <c r="E101" i="123" s="1"/>
  <c r="L101" i="123" s="1"/>
  <c r="D101" i="123" a="1"/>
  <c r="D101" i="123" s="1"/>
  <c r="I100" i="123" a="1"/>
  <c r="I100" i="123" s="1"/>
  <c r="H100" i="123" a="1"/>
  <c r="H100" i="123" s="1"/>
  <c r="G100" i="123" a="1"/>
  <c r="G100" i="123" s="1"/>
  <c r="F100" i="123" a="1"/>
  <c r="F100" i="123" s="1"/>
  <c r="M100" i="123" s="1"/>
  <c r="E100" i="123" a="1"/>
  <c r="E100" i="123" s="1"/>
  <c r="L100" i="123" s="1"/>
  <c r="D100" i="123" a="1"/>
  <c r="D100" i="123" s="1"/>
  <c r="I99" i="123" a="1"/>
  <c r="I99" i="123" s="1"/>
  <c r="H99" i="123" a="1"/>
  <c r="H99" i="123" s="1"/>
  <c r="G99" i="123" a="1"/>
  <c r="G99" i="123" s="1"/>
  <c r="F99" i="123" a="1"/>
  <c r="F99" i="123" s="1"/>
  <c r="M99" i="123" s="1"/>
  <c r="E99" i="123" a="1"/>
  <c r="E99" i="123" s="1"/>
  <c r="L99" i="123" s="1"/>
  <c r="D99" i="123" a="1"/>
  <c r="D99" i="123" s="1"/>
  <c r="I98" i="123" a="1"/>
  <c r="I98" i="123" s="1"/>
  <c r="H98" i="123" a="1"/>
  <c r="H98" i="123" s="1"/>
  <c r="G98" i="123" a="1"/>
  <c r="G98" i="123" s="1"/>
  <c r="F98" i="123" a="1"/>
  <c r="F98" i="123" s="1"/>
  <c r="M98" i="123" s="1"/>
  <c r="E98" i="123" a="1"/>
  <c r="E98" i="123" s="1"/>
  <c r="L98" i="123" s="1"/>
  <c r="N97" i="123" s="1"/>
  <c r="D98" i="123" a="1"/>
  <c r="D98" i="123" s="1"/>
  <c r="I97" i="123"/>
  <c r="I97" i="123" a="1"/>
  <c r="H97" i="123" a="1"/>
  <c r="H97" i="123" s="1"/>
  <c r="G97" i="123" a="1"/>
  <c r="G97" i="123" s="1"/>
  <c r="F97" i="123" a="1"/>
  <c r="F97" i="123" s="1"/>
  <c r="P97" i="123" s="1"/>
  <c r="E97" i="123" a="1"/>
  <c r="E97" i="123" s="1"/>
  <c r="O97" i="123" s="1"/>
  <c r="D97" i="123" a="1"/>
  <c r="D97" i="123" s="1"/>
  <c r="I96" i="123" a="1"/>
  <c r="I96" i="123" s="1"/>
  <c r="H96" i="123" a="1"/>
  <c r="H96" i="123" s="1"/>
  <c r="G96" i="123" a="1"/>
  <c r="G96" i="123" s="1"/>
  <c r="F96" i="123" a="1"/>
  <c r="F96" i="123" s="1"/>
  <c r="P96" i="123" s="1"/>
  <c r="E96" i="123" a="1"/>
  <c r="E96" i="123" s="1"/>
  <c r="O96" i="123" s="1"/>
  <c r="D96" i="123" a="1"/>
  <c r="D96" i="123" s="1"/>
  <c r="I95" i="123" a="1"/>
  <c r="I95" i="123" s="1"/>
  <c r="H95" i="123" a="1"/>
  <c r="H95" i="123" s="1"/>
  <c r="G95" i="123" a="1"/>
  <c r="G95" i="123" s="1"/>
  <c r="F95" i="123" a="1"/>
  <c r="F95" i="123" s="1"/>
  <c r="P95" i="123" s="1"/>
  <c r="E95" i="123" a="1"/>
  <c r="E95" i="123" s="1"/>
  <c r="O95" i="123" s="1"/>
  <c r="D95" i="123" a="1"/>
  <c r="D95" i="123" s="1"/>
  <c r="I94" i="123" a="1"/>
  <c r="I94" i="123" s="1"/>
  <c r="H94" i="123" a="1"/>
  <c r="H94" i="123" s="1"/>
  <c r="G94" i="123" a="1"/>
  <c r="G94" i="123" s="1"/>
  <c r="F94" i="123" a="1"/>
  <c r="F94" i="123" s="1"/>
  <c r="P94" i="123" s="1"/>
  <c r="E94" i="123" a="1"/>
  <c r="E94" i="123" s="1"/>
  <c r="O94" i="123" s="1"/>
  <c r="D94" i="123" a="1"/>
  <c r="D94" i="123" s="1"/>
  <c r="I93" i="123" a="1"/>
  <c r="I93" i="123" s="1"/>
  <c r="H93" i="123" a="1"/>
  <c r="H93" i="123" s="1"/>
  <c r="G93" i="123" a="1"/>
  <c r="G93" i="123" s="1"/>
  <c r="F93" i="123" a="1"/>
  <c r="F93" i="123" s="1"/>
  <c r="P93" i="123" s="1"/>
  <c r="E93" i="123" a="1"/>
  <c r="E93" i="123" s="1"/>
  <c r="O93" i="123" s="1"/>
  <c r="D93" i="123" a="1"/>
  <c r="D93" i="123" s="1"/>
  <c r="I92" i="123" a="1"/>
  <c r="I92" i="123" s="1"/>
  <c r="H92" i="123" a="1"/>
  <c r="H92" i="123" s="1"/>
  <c r="G92" i="123" a="1"/>
  <c r="G92" i="123" s="1"/>
  <c r="F92" i="123" a="1"/>
  <c r="F92" i="123" s="1"/>
  <c r="P92" i="123" s="1"/>
  <c r="E92" i="123" a="1"/>
  <c r="E92" i="123" s="1"/>
  <c r="O92" i="123" s="1"/>
  <c r="D92" i="123" a="1"/>
  <c r="D92" i="123" s="1"/>
  <c r="I91" i="123" a="1"/>
  <c r="I91" i="123" s="1"/>
  <c r="H91" i="123" a="1"/>
  <c r="H91" i="123" s="1"/>
  <c r="G91" i="123" a="1"/>
  <c r="G91" i="123" s="1"/>
  <c r="F91" i="123" a="1"/>
  <c r="F91" i="123" s="1"/>
  <c r="P91" i="123" s="1"/>
  <c r="E91" i="123" a="1"/>
  <c r="E91" i="123" s="1"/>
  <c r="O91" i="123" s="1"/>
  <c r="D91" i="123" a="1"/>
  <c r="D91" i="123" s="1"/>
  <c r="I90" i="123" a="1"/>
  <c r="I90" i="123" s="1"/>
  <c r="H90" i="123" a="1"/>
  <c r="H90" i="123" s="1"/>
  <c r="G90" i="123" a="1"/>
  <c r="G90" i="123" s="1"/>
  <c r="F90" i="123" a="1"/>
  <c r="F90" i="123" s="1"/>
  <c r="P90" i="123" s="1"/>
  <c r="E90" i="123" a="1"/>
  <c r="E90" i="123" s="1"/>
  <c r="O90" i="123" s="1"/>
  <c r="Q89" i="123" s="1"/>
  <c r="D90" i="123" a="1"/>
  <c r="D90" i="123" s="1"/>
  <c r="I86" i="123" a="1"/>
  <c r="I86" i="123" s="1"/>
  <c r="H86" i="123" a="1"/>
  <c r="H86" i="123" s="1"/>
  <c r="G86" i="123" a="1"/>
  <c r="G86" i="123" s="1"/>
  <c r="F86" i="123" a="1"/>
  <c r="F86" i="123" s="1"/>
  <c r="E86" i="123" a="1"/>
  <c r="E86" i="123" s="1"/>
  <c r="D86" i="123" a="1"/>
  <c r="D86" i="123" s="1"/>
  <c r="I85" i="123" a="1"/>
  <c r="I85" i="123" s="1"/>
  <c r="H85" i="123"/>
  <c r="H85" i="123" a="1"/>
  <c r="G85" i="123"/>
  <c r="G85" i="123" a="1"/>
  <c r="F85" i="123" a="1"/>
  <c r="F85" i="123" s="1"/>
  <c r="E85" i="123" a="1"/>
  <c r="E85" i="123" s="1"/>
  <c r="D85" i="123" a="1"/>
  <c r="D85" i="123" s="1"/>
  <c r="I84" i="123" a="1"/>
  <c r="I84" i="123" s="1"/>
  <c r="H84" i="123" a="1"/>
  <c r="H84" i="123" s="1"/>
  <c r="G84" i="123" a="1"/>
  <c r="G84" i="123" s="1"/>
  <c r="F84" i="123" a="1"/>
  <c r="F84" i="123" s="1"/>
  <c r="E84" i="123" a="1"/>
  <c r="E84" i="123" s="1"/>
  <c r="D84" i="123" a="1"/>
  <c r="D84" i="123" s="1"/>
  <c r="I83" i="123" a="1"/>
  <c r="I83" i="123" s="1"/>
  <c r="H83" i="123" a="1"/>
  <c r="H83" i="123" s="1"/>
  <c r="G83" i="123" a="1"/>
  <c r="G83" i="123" s="1"/>
  <c r="F83" i="123" a="1"/>
  <c r="F83" i="123" s="1"/>
  <c r="E83" i="123" a="1"/>
  <c r="E83" i="123" s="1"/>
  <c r="D83" i="123" a="1"/>
  <c r="D83" i="123" s="1"/>
  <c r="I80" i="123" a="1"/>
  <c r="I80" i="123" s="1"/>
  <c r="H80" i="123" a="1"/>
  <c r="H80" i="123" s="1"/>
  <c r="G80" i="123" a="1"/>
  <c r="G80" i="123" s="1"/>
  <c r="F80" i="123" a="1"/>
  <c r="F80" i="123" s="1"/>
  <c r="E80" i="123" a="1"/>
  <c r="E80" i="123" s="1"/>
  <c r="D80" i="123" a="1"/>
  <c r="D80" i="123" s="1"/>
  <c r="I79" i="123" a="1"/>
  <c r="I79" i="123" s="1"/>
  <c r="H79" i="123" a="1"/>
  <c r="H79" i="123" s="1"/>
  <c r="G79" i="123" a="1"/>
  <c r="G79" i="123" s="1"/>
  <c r="F79" i="123" a="1"/>
  <c r="F79" i="123" s="1"/>
  <c r="E79" i="123" a="1"/>
  <c r="E79" i="123" s="1"/>
  <c r="D79" i="123" a="1"/>
  <c r="D79" i="123" s="1"/>
  <c r="I78" i="123" a="1"/>
  <c r="I78" i="123" s="1"/>
  <c r="H78" i="123"/>
  <c r="H78" i="123" a="1"/>
  <c r="G78" i="123" a="1"/>
  <c r="G78" i="123" s="1"/>
  <c r="F78" i="123" a="1"/>
  <c r="F78" i="123" s="1"/>
  <c r="E78" i="123" a="1"/>
  <c r="E78" i="123" s="1"/>
  <c r="D78" i="123"/>
  <c r="D78" i="123" a="1"/>
  <c r="I74" i="123" a="1"/>
  <c r="I74" i="123" s="1"/>
  <c r="H74" i="123" a="1"/>
  <c r="H74" i="123" s="1"/>
  <c r="G74" i="123" a="1"/>
  <c r="G74" i="123" s="1"/>
  <c r="F74" i="123" a="1"/>
  <c r="F74" i="123" s="1"/>
  <c r="E74" i="123" a="1"/>
  <c r="E74" i="123" s="1"/>
  <c r="D74" i="123" a="1"/>
  <c r="D74" i="123" s="1"/>
  <c r="I73" i="123" a="1"/>
  <c r="I73" i="123" s="1"/>
  <c r="H73" i="123" a="1"/>
  <c r="H73" i="123" s="1"/>
  <c r="G73" i="123" a="1"/>
  <c r="G73" i="123" s="1"/>
  <c r="F73" i="123" a="1"/>
  <c r="F73" i="123" s="1"/>
  <c r="E73" i="123" a="1"/>
  <c r="E73" i="123" s="1"/>
  <c r="D73" i="123" a="1"/>
  <c r="D73" i="123" s="1"/>
  <c r="I72" i="123" a="1"/>
  <c r="I72" i="123" s="1"/>
  <c r="H72" i="123" a="1"/>
  <c r="H72" i="123" s="1"/>
  <c r="G72" i="123"/>
  <c r="G72" i="123" a="1"/>
  <c r="F72" i="123"/>
  <c r="F72" i="123" a="1"/>
  <c r="E72" i="123" a="1"/>
  <c r="E72" i="123" s="1"/>
  <c r="D72" i="123" a="1"/>
  <c r="D72" i="123" s="1"/>
  <c r="I71" i="123"/>
  <c r="I71" i="123" a="1"/>
  <c r="H71" i="123" a="1"/>
  <c r="H71" i="123" s="1"/>
  <c r="G71" i="123"/>
  <c r="G71" i="123" a="1"/>
  <c r="F71" i="123" a="1"/>
  <c r="F71" i="123" s="1"/>
  <c r="E71" i="123" a="1"/>
  <c r="E71" i="123" s="1"/>
  <c r="D71" i="123"/>
  <c r="D71" i="123" a="1"/>
  <c r="I70" i="123" a="1"/>
  <c r="I70" i="123" s="1"/>
  <c r="H70" i="123" a="1"/>
  <c r="H70" i="123" s="1"/>
  <c r="G70" i="123" a="1"/>
  <c r="G70" i="123" s="1"/>
  <c r="F70" i="123" a="1"/>
  <c r="F70" i="123" s="1"/>
  <c r="E70" i="123" a="1"/>
  <c r="E70" i="123" s="1"/>
  <c r="D70" i="123" a="1"/>
  <c r="D70" i="123" s="1"/>
  <c r="I69" i="123"/>
  <c r="I69" i="123" a="1"/>
  <c r="H69" i="123" a="1"/>
  <c r="H69" i="123" s="1"/>
  <c r="G69" i="123" a="1"/>
  <c r="G69" i="123" s="1"/>
  <c r="F69" i="123" a="1"/>
  <c r="F69" i="123" s="1"/>
  <c r="E69" i="123" a="1"/>
  <c r="E69" i="123" s="1"/>
  <c r="D69" i="123"/>
  <c r="D69" i="123" a="1"/>
  <c r="I68" i="123" a="1"/>
  <c r="I68" i="123" s="1"/>
  <c r="H68" i="123" a="1"/>
  <c r="H68" i="123" s="1"/>
  <c r="G68" i="123" a="1"/>
  <c r="G68" i="123" s="1"/>
  <c r="F68" i="123" a="1"/>
  <c r="F68" i="123" s="1"/>
  <c r="E68" i="123" a="1"/>
  <c r="E68" i="123" s="1"/>
  <c r="D68" i="123" a="1"/>
  <c r="D68" i="123" s="1"/>
  <c r="I67" i="123" a="1"/>
  <c r="I67" i="123" s="1"/>
  <c r="H67" i="123" a="1"/>
  <c r="H67" i="123" s="1"/>
  <c r="G67" i="123" a="1"/>
  <c r="G67" i="123" s="1"/>
  <c r="F67" i="123" a="1"/>
  <c r="F67" i="123" s="1"/>
  <c r="E67" i="123" a="1"/>
  <c r="E67" i="123" s="1"/>
  <c r="D67" i="123" a="1"/>
  <c r="D67" i="123" s="1"/>
  <c r="I66" i="123"/>
  <c r="I66" i="123" a="1"/>
  <c r="H66" i="123" a="1"/>
  <c r="H66" i="123" s="1"/>
  <c r="G66" i="123" a="1"/>
  <c r="G66" i="123" s="1"/>
  <c r="F66" i="123" a="1"/>
  <c r="F66" i="123" s="1"/>
  <c r="E66" i="123" a="1"/>
  <c r="E66" i="123" s="1"/>
  <c r="D66" i="123" a="1"/>
  <c r="D66" i="123" s="1"/>
  <c r="I65" i="123" a="1"/>
  <c r="I65" i="123" s="1"/>
  <c r="H65" i="123" a="1"/>
  <c r="H65" i="123" s="1"/>
  <c r="G65" i="123" a="1"/>
  <c r="G65" i="123" s="1"/>
  <c r="F65" i="123"/>
  <c r="F65" i="123" a="1"/>
  <c r="E65" i="123" a="1"/>
  <c r="E65" i="123" s="1"/>
  <c r="D65" i="123" a="1"/>
  <c r="D65" i="123" s="1"/>
  <c r="I64" i="123" a="1"/>
  <c r="I64" i="123" s="1"/>
  <c r="H64" i="123" a="1"/>
  <c r="H64" i="123" s="1"/>
  <c r="G64" i="123" a="1"/>
  <c r="G64" i="123" s="1"/>
  <c r="F64" i="123" a="1"/>
  <c r="F64" i="123" s="1"/>
  <c r="E64" i="123"/>
  <c r="E64" i="123" a="1"/>
  <c r="D64" i="123" a="1"/>
  <c r="D64" i="123" s="1"/>
  <c r="I63" i="123" a="1"/>
  <c r="I63" i="123" s="1"/>
  <c r="H63" i="123" a="1"/>
  <c r="H63" i="123" s="1"/>
  <c r="G63" i="123" a="1"/>
  <c r="G63" i="123" s="1"/>
  <c r="F63" i="123" a="1"/>
  <c r="F63" i="123" s="1"/>
  <c r="E63" i="123" a="1"/>
  <c r="E63" i="123" s="1"/>
  <c r="D63" i="123" a="1"/>
  <c r="D63" i="123" s="1"/>
  <c r="I62" i="123" a="1"/>
  <c r="I62" i="123" s="1"/>
  <c r="H62" i="123" a="1"/>
  <c r="H62" i="123" s="1"/>
  <c r="G62" i="123" a="1"/>
  <c r="G62" i="123" s="1"/>
  <c r="F62" i="123" a="1"/>
  <c r="F62" i="123" s="1"/>
  <c r="E62" i="123" a="1"/>
  <c r="E62" i="123" s="1"/>
  <c r="D62" i="123" a="1"/>
  <c r="D62" i="123" s="1"/>
  <c r="I61" i="123" a="1"/>
  <c r="I61" i="123" s="1"/>
  <c r="H61" i="123" a="1"/>
  <c r="H61" i="123" s="1"/>
  <c r="G61" i="123" a="1"/>
  <c r="G61" i="123" s="1"/>
  <c r="F61" i="123" a="1"/>
  <c r="F61" i="123" s="1"/>
  <c r="E61" i="123" a="1"/>
  <c r="E61" i="123" s="1"/>
  <c r="D61" i="123" a="1"/>
  <c r="D61" i="123" s="1"/>
  <c r="I60" i="123" a="1"/>
  <c r="I60" i="123" s="1"/>
  <c r="H60" i="123" a="1"/>
  <c r="H60" i="123" s="1"/>
  <c r="G60" i="123" a="1"/>
  <c r="G60" i="123" s="1"/>
  <c r="F60" i="123" a="1"/>
  <c r="F60" i="123" s="1"/>
  <c r="E60" i="123" a="1"/>
  <c r="E60" i="123" s="1"/>
  <c r="D60" i="123" a="1"/>
  <c r="D60" i="123" s="1"/>
  <c r="I59" i="123" a="1"/>
  <c r="I59" i="123" s="1"/>
  <c r="H59" i="123" a="1"/>
  <c r="H59" i="123" s="1"/>
  <c r="G59" i="123" a="1"/>
  <c r="G59" i="123" s="1"/>
  <c r="F59" i="123" a="1"/>
  <c r="F59" i="123" s="1"/>
  <c r="E59" i="123"/>
  <c r="E59" i="123" a="1"/>
  <c r="D59" i="123" a="1"/>
  <c r="D59" i="123" s="1"/>
  <c r="I58" i="123" a="1"/>
  <c r="I58" i="123" s="1"/>
  <c r="H58" i="123" a="1"/>
  <c r="H58" i="123" s="1"/>
  <c r="G58" i="123" a="1"/>
  <c r="G58" i="123" s="1"/>
  <c r="F58" i="123" a="1"/>
  <c r="F58" i="123" s="1"/>
  <c r="E58" i="123" a="1"/>
  <c r="E58" i="123" s="1"/>
  <c r="D58" i="123" a="1"/>
  <c r="D58" i="123" s="1"/>
  <c r="I57" i="123" a="1"/>
  <c r="I57" i="123" s="1"/>
  <c r="H57" i="123" a="1"/>
  <c r="H57" i="123" s="1"/>
  <c r="G57" i="123" a="1"/>
  <c r="G57" i="123" s="1"/>
  <c r="F57" i="123" a="1"/>
  <c r="F57" i="123" s="1"/>
  <c r="E57" i="123" a="1"/>
  <c r="E57" i="123" s="1"/>
  <c r="D57" i="123" a="1"/>
  <c r="D57" i="123" s="1"/>
  <c r="I56" i="123" a="1"/>
  <c r="I56" i="123" s="1"/>
  <c r="H56" i="123" a="1"/>
  <c r="H56" i="123" s="1"/>
  <c r="G56" i="123" a="1"/>
  <c r="G56" i="123" s="1"/>
  <c r="F56" i="123" a="1"/>
  <c r="F56" i="123" s="1"/>
  <c r="E56" i="123" a="1"/>
  <c r="E56" i="123" s="1"/>
  <c r="D56" i="123" a="1"/>
  <c r="D56" i="123" s="1"/>
  <c r="I55" i="123" a="1"/>
  <c r="I55" i="123" s="1"/>
  <c r="H55" i="123" a="1"/>
  <c r="H55" i="123" s="1"/>
  <c r="G55" i="123" a="1"/>
  <c r="G55" i="123" s="1"/>
  <c r="F55" i="123" a="1"/>
  <c r="F55" i="123" s="1"/>
  <c r="E55" i="123" a="1"/>
  <c r="E55" i="123" s="1"/>
  <c r="D55" i="123" a="1"/>
  <c r="D55" i="123" s="1"/>
  <c r="I54" i="123" a="1"/>
  <c r="I54" i="123" s="1"/>
  <c r="H54" i="123" a="1"/>
  <c r="H54" i="123" s="1"/>
  <c r="G54" i="123"/>
  <c r="G54" i="123" a="1"/>
  <c r="F54" i="123" a="1"/>
  <c r="F54" i="123" s="1"/>
  <c r="E54" i="123" a="1"/>
  <c r="E54" i="123" s="1"/>
  <c r="D54" i="123" a="1"/>
  <c r="D54" i="123" s="1"/>
  <c r="I53" i="123" a="1"/>
  <c r="I53" i="123" s="1"/>
  <c r="H53" i="123" a="1"/>
  <c r="H53" i="123" s="1"/>
  <c r="G53" i="123" a="1"/>
  <c r="G53" i="123" s="1"/>
  <c r="F53" i="123" a="1"/>
  <c r="F53" i="123" s="1"/>
  <c r="E53" i="123" a="1"/>
  <c r="E53" i="123" s="1"/>
  <c r="D53" i="123" a="1"/>
  <c r="D53" i="123" s="1"/>
  <c r="I52" i="123" a="1"/>
  <c r="I52" i="123" s="1"/>
  <c r="H52" i="123" a="1"/>
  <c r="H52" i="123" s="1"/>
  <c r="G52" i="123" a="1"/>
  <c r="G52" i="123" s="1"/>
  <c r="F52" i="123" a="1"/>
  <c r="F52" i="123" s="1"/>
  <c r="E52" i="123" a="1"/>
  <c r="E52" i="123" s="1"/>
  <c r="D52" i="123"/>
  <c r="D52" i="123" a="1"/>
  <c r="I51" i="123" a="1"/>
  <c r="I51" i="123" s="1"/>
  <c r="H51" i="123" a="1"/>
  <c r="H51" i="123" s="1"/>
  <c r="G51" i="123" a="1"/>
  <c r="G51" i="123" s="1"/>
  <c r="F51" i="123" a="1"/>
  <c r="F51" i="123" s="1"/>
  <c r="E51" i="123" a="1"/>
  <c r="E51" i="123" s="1"/>
  <c r="D51" i="123" a="1"/>
  <c r="D51" i="123" s="1"/>
  <c r="I50" i="123" a="1"/>
  <c r="I50" i="123" s="1"/>
  <c r="H50" i="123" a="1"/>
  <c r="H50" i="123" s="1"/>
  <c r="G50" i="123" a="1"/>
  <c r="G50" i="123" s="1"/>
  <c r="F50" i="123" a="1"/>
  <c r="F50" i="123" s="1"/>
  <c r="E50" i="123" a="1"/>
  <c r="E50" i="123" s="1"/>
  <c r="D50" i="123" a="1"/>
  <c r="D50" i="123" s="1"/>
  <c r="I49" i="123" a="1"/>
  <c r="I49" i="123" s="1"/>
  <c r="H49" i="123" a="1"/>
  <c r="H49" i="123" s="1"/>
  <c r="G49" i="123" a="1"/>
  <c r="G49" i="123" s="1"/>
  <c r="F49" i="123" a="1"/>
  <c r="F49" i="123" s="1"/>
  <c r="E49" i="123" a="1"/>
  <c r="E49" i="123" s="1"/>
  <c r="D49" i="123" a="1"/>
  <c r="D49" i="123" s="1"/>
  <c r="I48" i="123" a="1"/>
  <c r="I48" i="123" s="1"/>
  <c r="H48" i="123" a="1"/>
  <c r="H48" i="123" s="1"/>
  <c r="G48" i="123" a="1"/>
  <c r="G48" i="123" s="1"/>
  <c r="F48" i="123" a="1"/>
  <c r="F48" i="123" s="1"/>
  <c r="E48" i="123" a="1"/>
  <c r="E48" i="123" s="1"/>
  <c r="D48" i="123" a="1"/>
  <c r="D48" i="123" s="1"/>
  <c r="I47" i="123" a="1"/>
  <c r="I47" i="123" s="1"/>
  <c r="H47" i="123" a="1"/>
  <c r="H47" i="123" s="1"/>
  <c r="G47" i="123" a="1"/>
  <c r="G47" i="123" s="1"/>
  <c r="F47" i="123" a="1"/>
  <c r="F47" i="123" s="1"/>
  <c r="E47" i="123" a="1"/>
  <c r="E47" i="123" s="1"/>
  <c r="D47" i="123" a="1"/>
  <c r="D47" i="123" s="1"/>
  <c r="I46" i="123" a="1"/>
  <c r="I46" i="123" s="1"/>
  <c r="H46" i="123" a="1"/>
  <c r="H46" i="123" s="1"/>
  <c r="G46" i="123" a="1"/>
  <c r="G46" i="123" s="1"/>
  <c r="F46" i="123" a="1"/>
  <c r="F46" i="123" s="1"/>
  <c r="E46" i="123" a="1"/>
  <c r="E46" i="123" s="1"/>
  <c r="D46" i="123" a="1"/>
  <c r="D46" i="123" s="1"/>
  <c r="I45" i="123" a="1"/>
  <c r="I45" i="123" s="1"/>
  <c r="H45" i="123" a="1"/>
  <c r="H45" i="123" s="1"/>
  <c r="G45" i="123" a="1"/>
  <c r="G45" i="123" s="1"/>
  <c r="F45" i="123" a="1"/>
  <c r="F45" i="123" s="1"/>
  <c r="E45" i="123" a="1"/>
  <c r="E45" i="123" s="1"/>
  <c r="D45" i="123" a="1"/>
  <c r="D45" i="123" s="1"/>
  <c r="I44" i="123" a="1"/>
  <c r="I44" i="123" s="1"/>
  <c r="H44" i="123" a="1"/>
  <c r="H44" i="123" s="1"/>
  <c r="G44" i="123" a="1"/>
  <c r="G44" i="123" s="1"/>
  <c r="F44" i="123" a="1"/>
  <c r="F44" i="123" s="1"/>
  <c r="E44" i="123" a="1"/>
  <c r="E44" i="123" s="1"/>
  <c r="D44" i="123" a="1"/>
  <c r="D44" i="123" s="1"/>
  <c r="I43" i="123" a="1"/>
  <c r="I43" i="123" s="1"/>
  <c r="H43" i="123" a="1"/>
  <c r="H43" i="123" s="1"/>
  <c r="G43" i="123" a="1"/>
  <c r="G43" i="123" s="1"/>
  <c r="F43" i="123" a="1"/>
  <c r="F43" i="123" s="1"/>
  <c r="E43" i="123"/>
  <c r="E43" i="123" a="1"/>
  <c r="D43" i="123" a="1"/>
  <c r="D43" i="123" s="1"/>
  <c r="I42" i="123" a="1"/>
  <c r="I42" i="123" s="1"/>
  <c r="H42" i="123" a="1"/>
  <c r="H42" i="123" s="1"/>
  <c r="G42" i="123" a="1"/>
  <c r="G42" i="123" s="1"/>
  <c r="F42" i="123" a="1"/>
  <c r="F42" i="123" s="1"/>
  <c r="E42" i="123" a="1"/>
  <c r="E42" i="123" s="1"/>
  <c r="D42" i="123" a="1"/>
  <c r="D42" i="123" s="1"/>
  <c r="I41" i="123" a="1"/>
  <c r="I41" i="123" s="1"/>
  <c r="H41" i="123" a="1"/>
  <c r="H41" i="123" s="1"/>
  <c r="G41" i="123" a="1"/>
  <c r="G41" i="123" s="1"/>
  <c r="F41" i="123" a="1"/>
  <c r="F41" i="123" s="1"/>
  <c r="E41" i="123" a="1"/>
  <c r="E41" i="123" s="1"/>
  <c r="D41" i="123" a="1"/>
  <c r="D41" i="123" s="1"/>
  <c r="I40" i="123" a="1"/>
  <c r="I40" i="123" s="1"/>
  <c r="H40" i="123" a="1"/>
  <c r="H40" i="123" s="1"/>
  <c r="G40" i="123" a="1"/>
  <c r="G40" i="123" s="1"/>
  <c r="F40" i="123" a="1"/>
  <c r="F40" i="123" s="1"/>
  <c r="E40" i="123" a="1"/>
  <c r="E40" i="123" s="1"/>
  <c r="D40" i="123" a="1"/>
  <c r="D40" i="123" s="1"/>
  <c r="I39" i="123" a="1"/>
  <c r="I39" i="123" s="1"/>
  <c r="H39" i="123" a="1"/>
  <c r="H39" i="123" s="1"/>
  <c r="G39" i="123" a="1"/>
  <c r="G39" i="123" s="1"/>
  <c r="F39" i="123" a="1"/>
  <c r="F39" i="123" s="1"/>
  <c r="E39" i="123" a="1"/>
  <c r="E39" i="123" s="1"/>
  <c r="D39" i="123" a="1"/>
  <c r="D39" i="123" s="1"/>
  <c r="I38" i="123" a="1"/>
  <c r="I38" i="123" s="1"/>
  <c r="H38" i="123" a="1"/>
  <c r="H38" i="123" s="1"/>
  <c r="G38" i="123" a="1"/>
  <c r="G38" i="123" s="1"/>
  <c r="F38" i="123" a="1"/>
  <c r="F38" i="123" s="1"/>
  <c r="E38" i="123" a="1"/>
  <c r="E38" i="123" s="1"/>
  <c r="D38" i="123" a="1"/>
  <c r="D38" i="123" s="1"/>
  <c r="I37" i="123" a="1"/>
  <c r="I37" i="123" s="1"/>
  <c r="H37" i="123"/>
  <c r="H37" i="123" a="1"/>
  <c r="G37" i="123" a="1"/>
  <c r="G37" i="123" s="1"/>
  <c r="F37" i="123" a="1"/>
  <c r="F37" i="123" s="1"/>
  <c r="E37" i="123" a="1"/>
  <c r="E37" i="123" s="1"/>
  <c r="D37" i="123" a="1"/>
  <c r="D37" i="123" s="1"/>
  <c r="I36" i="123" a="1"/>
  <c r="I36" i="123" s="1"/>
  <c r="H36" i="123" a="1"/>
  <c r="H36" i="123" s="1"/>
  <c r="G36" i="123" a="1"/>
  <c r="G36" i="123" s="1"/>
  <c r="F36" i="123" a="1"/>
  <c r="F36" i="123" s="1"/>
  <c r="E36" i="123" a="1"/>
  <c r="E36" i="123" s="1"/>
  <c r="D36" i="123" a="1"/>
  <c r="D36" i="123" s="1"/>
  <c r="I35" i="123" a="1"/>
  <c r="I35" i="123" s="1"/>
  <c r="H35" i="123" a="1"/>
  <c r="H35" i="123" s="1"/>
  <c r="G35" i="123" a="1"/>
  <c r="G35" i="123" s="1"/>
  <c r="F35" i="123" a="1"/>
  <c r="F35" i="123" s="1"/>
  <c r="E35" i="123" a="1"/>
  <c r="E35" i="123" s="1"/>
  <c r="D35" i="123" a="1"/>
  <c r="D35" i="123" s="1"/>
  <c r="I34" i="123" a="1"/>
  <c r="I34" i="123" s="1"/>
  <c r="H34" i="123" a="1"/>
  <c r="H34" i="123" s="1"/>
  <c r="G34" i="123" a="1"/>
  <c r="G34" i="123" s="1"/>
  <c r="F34" i="123" a="1"/>
  <c r="F34" i="123" s="1"/>
  <c r="E34" i="123" a="1"/>
  <c r="E34" i="123" s="1"/>
  <c r="D34" i="123" a="1"/>
  <c r="D34" i="123" s="1"/>
  <c r="J87" i="122"/>
  <c r="R85" i="122" a="1"/>
  <c r="R85" i="122" s="1"/>
  <c r="N85" i="122" a="1"/>
  <c r="N85" i="122" s="1"/>
  <c r="H85" i="122" a="1"/>
  <c r="H85" i="122" s="1"/>
  <c r="D85" i="122" a="1"/>
  <c r="D85" i="122" s="1"/>
  <c r="O83" i="122" a="1"/>
  <c r="O83" i="122" s="1"/>
  <c r="E83" i="122" a="1"/>
  <c r="E83" i="122" s="1"/>
  <c r="O82" i="122" a="1"/>
  <c r="O82" i="122" s="1"/>
  <c r="E82" i="122" a="1"/>
  <c r="E82" i="122" s="1"/>
  <c r="N78" i="122" a="1"/>
  <c r="N78" i="122" s="1"/>
  <c r="D78" i="122" a="1"/>
  <c r="D78" i="122" s="1"/>
  <c r="N77" i="122" a="1"/>
  <c r="N77" i="122" s="1"/>
  <c r="D77" i="122" a="1"/>
  <c r="D77" i="122" s="1"/>
  <c r="I72" i="122"/>
  <c r="I68" i="122" s="1"/>
  <c r="I71" i="122"/>
  <c r="I70" i="122"/>
  <c r="I69" i="122"/>
  <c r="S67" i="122"/>
  <c r="Q67" i="122" a="1"/>
  <c r="Q67" i="122" s="1"/>
  <c r="N67" i="122" a="1"/>
  <c r="N67" i="122" s="1"/>
  <c r="I67" i="122"/>
  <c r="G67" i="122" a="1"/>
  <c r="G67" i="122" s="1"/>
  <c r="D67" i="122" a="1"/>
  <c r="D67" i="122" s="1"/>
  <c r="O65" i="122" a="1"/>
  <c r="O65" i="122" s="1"/>
  <c r="E65" i="122" a="1"/>
  <c r="E65" i="122" s="1"/>
  <c r="O64" i="122" a="1"/>
  <c r="O64" i="122" s="1"/>
  <c r="E64" i="122" a="1"/>
  <c r="E64" i="122" s="1"/>
  <c r="N60" i="122" a="1"/>
  <c r="N60" i="122" s="1"/>
  <c r="D60" i="122" a="1"/>
  <c r="D60" i="122" s="1"/>
  <c r="N59" i="122" a="1"/>
  <c r="N59" i="122" s="1"/>
  <c r="D59" i="122" a="1"/>
  <c r="D59" i="122" s="1"/>
  <c r="I53" i="122"/>
  <c r="I52" i="122"/>
  <c r="I51" i="122"/>
  <c r="Q48" i="122" a="1"/>
  <c r="Q48" i="122" s="1"/>
  <c r="N48" i="122" a="1"/>
  <c r="N48" i="122" s="1"/>
  <c r="G48" i="122" a="1"/>
  <c r="G48" i="122" s="1"/>
  <c r="D48" i="122" a="1"/>
  <c r="D48" i="122" s="1"/>
  <c r="O46" i="122" a="1"/>
  <c r="O46" i="122" s="1"/>
  <c r="E46" i="122" a="1"/>
  <c r="E46" i="122" s="1"/>
  <c r="O45" i="122" a="1"/>
  <c r="O45" i="122" s="1"/>
  <c r="E45" i="122" a="1"/>
  <c r="E45" i="122" s="1"/>
  <c r="N41" i="122" a="1"/>
  <c r="N41" i="122" s="1"/>
  <c r="D41" i="122"/>
  <c r="D41" i="122" a="1"/>
  <c r="N40" i="122" a="1"/>
  <c r="N40" i="122" s="1"/>
  <c r="D40" i="122" a="1"/>
  <c r="D40" i="122" s="1"/>
  <c r="I33" i="122"/>
  <c r="S32" i="122"/>
  <c r="Q32" i="122" a="1"/>
  <c r="Q32" i="122" s="1"/>
  <c r="N32" i="122" a="1"/>
  <c r="N32" i="122" s="1"/>
  <c r="I32" i="122"/>
  <c r="G32" i="122" a="1"/>
  <c r="G32" i="122" s="1"/>
  <c r="D32" i="122" a="1"/>
  <c r="D32" i="122" s="1"/>
  <c r="O30" i="122" a="1"/>
  <c r="O30" i="122" s="1"/>
  <c r="P35" i="122" s="1"/>
  <c r="E30" i="122" a="1"/>
  <c r="E30" i="122" s="1"/>
  <c r="F35" i="122" s="1"/>
  <c r="O29" i="122" a="1"/>
  <c r="O29" i="122" s="1"/>
  <c r="E29" i="122" a="1"/>
  <c r="E29" i="122" s="1"/>
  <c r="N25" i="122" a="1"/>
  <c r="N25" i="122" s="1"/>
  <c r="D25" i="122" a="1"/>
  <c r="D25" i="122" s="1"/>
  <c r="N24" i="122" a="1"/>
  <c r="N24" i="122" s="1"/>
  <c r="D24" i="122" a="1"/>
  <c r="D24" i="122" s="1"/>
  <c r="J17" i="122"/>
  <c r="J14" i="122" s="1"/>
  <c r="J16" i="122"/>
  <c r="T13" i="122"/>
  <c r="R13" i="122" a="1"/>
  <c r="R13" i="122" s="1"/>
  <c r="N13" i="122" a="1"/>
  <c r="N13" i="122" s="1"/>
  <c r="J13" i="122"/>
  <c r="H13" i="122" a="1"/>
  <c r="H13" i="122" s="1"/>
  <c r="D13" i="122" a="1"/>
  <c r="D13" i="122" s="1"/>
  <c r="O11" i="122" a="1"/>
  <c r="O11" i="122" s="1"/>
  <c r="E11" i="122" a="1"/>
  <c r="E11" i="122" s="1"/>
  <c r="O10" i="122" a="1"/>
  <c r="O10" i="122" s="1"/>
  <c r="E10" i="122" a="1"/>
  <c r="E10" i="122" s="1"/>
  <c r="N6" i="122" a="1"/>
  <c r="N6" i="122" s="1"/>
  <c r="D6" i="122" a="1"/>
  <c r="D6" i="122" s="1"/>
  <c r="N5" i="122" a="1"/>
  <c r="N5" i="122" s="1"/>
  <c r="D5" i="122" a="1"/>
  <c r="D5" i="122" s="1"/>
  <c r="J633" i="121" a="1"/>
  <c r="J633" i="121" s="1"/>
  <c r="J632" i="121" a="1"/>
  <c r="J632" i="121" s="1"/>
  <c r="J631" i="121" a="1"/>
  <c r="J631" i="121" s="1"/>
  <c r="J626" i="121" a="1"/>
  <c r="J626" i="121" s="1"/>
  <c r="J625" i="121" a="1"/>
  <c r="J625" i="121" s="1"/>
  <c r="J630" i="121" a="1"/>
  <c r="J630" i="121" s="1"/>
  <c r="G616" i="121" a="1"/>
  <c r="G616" i="121" s="1"/>
  <c r="D616" i="121" a="1"/>
  <c r="D616" i="121" s="1"/>
  <c r="E614" i="121" a="1"/>
  <c r="E614" i="121" s="1"/>
  <c r="E613" i="121" a="1"/>
  <c r="E613" i="121" s="1"/>
  <c r="D608" i="121" a="1"/>
  <c r="D608" i="121" s="1"/>
  <c r="D607" i="121" a="1"/>
  <c r="D607" i="121" s="1"/>
  <c r="E603" i="121"/>
  <c r="E601" i="121" a="1"/>
  <c r="E601" i="121" s="1"/>
  <c r="F603" i="121" s="1"/>
  <c r="E600" i="121" a="1"/>
  <c r="E600" i="121" s="1"/>
  <c r="D598" i="121" a="1"/>
  <c r="D598" i="121" s="1"/>
  <c r="D597" i="121" a="1"/>
  <c r="D597" i="121" s="1"/>
  <c r="N593" i="121" a="1"/>
  <c r="N593" i="121" s="1"/>
  <c r="F593" i="121" a="1"/>
  <c r="F593" i="121" s="1"/>
  <c r="L590" i="121" a="1"/>
  <c r="L590" i="121" s="1"/>
  <c r="D590" i="121" a="1"/>
  <c r="D590" i="121" s="1"/>
  <c r="P584" i="121" a="1"/>
  <c r="P584" i="121" s="1"/>
  <c r="L584" i="121" a="1"/>
  <c r="L584" i="121" s="1"/>
  <c r="H584" i="121" a="1"/>
  <c r="H584" i="121" s="1"/>
  <c r="D584" i="121" a="1"/>
  <c r="D584" i="121" s="1"/>
  <c r="E580" i="121" a="1"/>
  <c r="E580" i="121" s="1"/>
  <c r="E579" i="121" a="1"/>
  <c r="E579" i="121" s="1"/>
  <c r="D575" i="121" a="1"/>
  <c r="D575" i="121" s="1"/>
  <c r="D574" i="121" a="1"/>
  <c r="D574" i="121" s="1"/>
  <c r="I568" i="121"/>
  <c r="I566" i="121"/>
  <c r="I565" i="121"/>
  <c r="I564" i="121"/>
  <c r="I563" i="121"/>
  <c r="I562" i="121"/>
  <c r="G562" i="121" a="1"/>
  <c r="G562" i="121" s="1"/>
  <c r="D562" i="121" a="1"/>
  <c r="D562" i="121" s="1"/>
  <c r="E560" i="121" a="1"/>
  <c r="E560" i="121" s="1"/>
  <c r="E559" i="121" a="1"/>
  <c r="E559" i="121" s="1"/>
  <c r="D554" i="121" a="1"/>
  <c r="D554" i="121" s="1"/>
  <c r="D553" i="121" a="1"/>
  <c r="D553" i="121" s="1"/>
  <c r="D552" i="121" a="1"/>
  <c r="D552" i="121" s="1"/>
  <c r="I546" i="121"/>
  <c r="I545" i="121" s="1" a="1"/>
  <c r="I545" i="121" s="1"/>
  <c r="I544" i="121"/>
  <c r="G544" i="121" a="1"/>
  <c r="G544" i="121" s="1"/>
  <c r="D544" i="121" a="1"/>
  <c r="D544" i="121" s="1"/>
  <c r="E542" i="121" a="1"/>
  <c r="E542" i="121" s="1"/>
  <c r="E541" i="121" a="1"/>
  <c r="E541" i="121" s="1"/>
  <c r="D537" i="121" a="1"/>
  <c r="D537" i="121" s="1"/>
  <c r="D536" i="121" a="1"/>
  <c r="D536" i="121" s="1"/>
  <c r="G530" i="121" a="1"/>
  <c r="G530" i="121" s="1"/>
  <c r="D530" i="121" a="1"/>
  <c r="D530" i="121" s="1"/>
  <c r="E528" i="121" a="1"/>
  <c r="E528" i="121" s="1"/>
  <c r="E527" i="121" a="1"/>
  <c r="E527" i="121" s="1"/>
  <c r="D522" i="121" a="1"/>
  <c r="D522" i="121" s="1"/>
  <c r="D521" i="121" a="1"/>
  <c r="D521" i="121" s="1"/>
  <c r="E496" i="121"/>
  <c r="I496" i="121" s="1" a="1"/>
  <c r="I496" i="121" s="1"/>
  <c r="E495" i="121"/>
  <c r="E494" i="121"/>
  <c r="I494" i="121" s="1" a="1"/>
  <c r="I494" i="121" s="1"/>
  <c r="E485" i="121"/>
  <c r="I485" i="121" s="1" a="1"/>
  <c r="I485" i="121" s="1"/>
  <c r="E484" i="121"/>
  <c r="E483" i="121"/>
  <c r="I483" i="121" s="1" a="1"/>
  <c r="I483" i="121" s="1"/>
  <c r="E482" i="121"/>
  <c r="E481" i="121"/>
  <c r="I481" i="121" s="1" a="1"/>
  <c r="I481" i="121" s="1"/>
  <c r="J467" i="121" a="1"/>
  <c r="J467" i="121" s="1"/>
  <c r="J446" i="121" a="1"/>
  <c r="J446" i="121" s="1"/>
  <c r="G439" i="121" a="1"/>
  <c r="G439" i="121" s="1"/>
  <c r="D439" i="121" a="1"/>
  <c r="D439" i="121" s="1"/>
  <c r="E437" i="121" a="1"/>
  <c r="E437" i="121" s="1"/>
  <c r="E436" i="121" a="1"/>
  <c r="E436" i="121" s="1"/>
  <c r="D431" i="121" a="1"/>
  <c r="D431" i="121" s="1"/>
  <c r="D430" i="121" a="1"/>
  <c r="D430" i="121" s="1"/>
  <c r="J422" i="121" a="1"/>
  <c r="J422" i="121" s="1"/>
  <c r="K421" i="121"/>
  <c r="K419" i="121"/>
  <c r="J419" i="121" a="1"/>
  <c r="J419" i="121" s="1"/>
  <c r="J418" i="121" a="1"/>
  <c r="J418" i="121" s="1"/>
  <c r="K417" i="121"/>
  <c r="J417" i="121" a="1"/>
  <c r="J417" i="121" s="1"/>
  <c r="J415" i="121" a="1"/>
  <c r="J415" i="121" s="1"/>
  <c r="J414" i="121" a="1"/>
  <c r="J414" i="121" s="1"/>
  <c r="J421" i="121" a="1"/>
  <c r="J421" i="121" s="1"/>
  <c r="F407" i="121" a="1"/>
  <c r="F407" i="121" s="1"/>
  <c r="D407" i="121" a="1"/>
  <c r="D407" i="121" s="1"/>
  <c r="E405" i="121" a="1"/>
  <c r="E405" i="121" s="1"/>
  <c r="E404" i="121" a="1"/>
  <c r="E404" i="121" s="1"/>
  <c r="D399" i="121" a="1"/>
  <c r="D399" i="121" s="1"/>
  <c r="D398" i="121" a="1"/>
  <c r="D398" i="121" s="1"/>
  <c r="F377" i="121" a="1"/>
  <c r="F377" i="121" s="1"/>
  <c r="D377" i="121" a="1"/>
  <c r="D377" i="121" s="1"/>
  <c r="E375" i="121" a="1"/>
  <c r="E375" i="121" s="1"/>
  <c r="E374" i="121" a="1"/>
  <c r="E374" i="121" s="1"/>
  <c r="D369" i="121" a="1"/>
  <c r="D369" i="121" s="1"/>
  <c r="D368" i="121" a="1"/>
  <c r="D368" i="121" s="1"/>
  <c r="D367" i="121" a="1"/>
  <c r="D367" i="121" s="1"/>
  <c r="K359" i="121" a="1"/>
  <c r="K359" i="121" s="1"/>
  <c r="L358" i="121"/>
  <c r="K358" i="121" a="1"/>
  <c r="K358" i="121" s="1"/>
  <c r="L357" i="121"/>
  <c r="L356" i="121"/>
  <c r="L355" i="121"/>
  <c r="L354" i="121"/>
  <c r="K354" i="121" a="1"/>
  <c r="K354" i="121" s="1"/>
  <c r="L353" i="121"/>
  <c r="K353" i="121" a="1"/>
  <c r="K353" i="121" s="1"/>
  <c r="L352" i="121"/>
  <c r="L360" i="121"/>
  <c r="G344" i="121" a="1"/>
  <c r="G344" i="121" s="1"/>
  <c r="D344" i="121" a="1"/>
  <c r="D344" i="121" s="1"/>
  <c r="E342" i="121" a="1"/>
  <c r="E342" i="121" s="1"/>
  <c r="E341" i="121" a="1"/>
  <c r="E341" i="121" s="1"/>
  <c r="D337" i="121" a="1"/>
  <c r="D337" i="121" s="1"/>
  <c r="D336" i="121" a="1"/>
  <c r="D336" i="121" s="1"/>
  <c r="F311" i="121" a="1"/>
  <c r="G315" i="121" s="1"/>
  <c r="D311" i="121" a="1"/>
  <c r="D311" i="121" s="1"/>
  <c r="E309" i="121" a="1"/>
  <c r="E309" i="121" s="1"/>
  <c r="E308" i="121" a="1"/>
  <c r="E308" i="121" s="1"/>
  <c r="D304" i="121" a="1"/>
  <c r="D304" i="121" s="1"/>
  <c r="D303" i="121" a="1"/>
  <c r="D303" i="121" s="1"/>
  <c r="G280" i="121" a="1"/>
  <c r="G280" i="121" s="1"/>
  <c r="D280" i="121" a="1"/>
  <c r="D280" i="121" s="1"/>
  <c r="E278" i="121" a="1"/>
  <c r="E278" i="121" s="1"/>
  <c r="E277" i="121" a="1"/>
  <c r="E277" i="121" s="1"/>
  <c r="D272" i="121" a="1"/>
  <c r="D272" i="121" s="1"/>
  <c r="D271" i="121" a="1"/>
  <c r="D271" i="121" s="1"/>
  <c r="G224" i="121" a="1"/>
  <c r="G224" i="121" s="1"/>
  <c r="D224" i="121" a="1"/>
  <c r="D224" i="121" s="1"/>
  <c r="E222" i="121" a="1"/>
  <c r="E222" i="121" s="1"/>
  <c r="E221" i="121" a="1"/>
  <c r="E221" i="121" s="1"/>
  <c r="D217" i="121" a="1"/>
  <c r="D217" i="121" s="1"/>
  <c r="D216" i="121" a="1"/>
  <c r="D216" i="121" s="1"/>
  <c r="D215" i="121" a="1"/>
  <c r="D215" i="121" s="1"/>
  <c r="G209" i="121" a="1"/>
  <c r="G209" i="121" s="1"/>
  <c r="D209" i="121" a="1"/>
  <c r="D209" i="121" s="1"/>
  <c r="E207" i="121" a="1"/>
  <c r="E207" i="121" s="1"/>
  <c r="E206" i="121" a="1"/>
  <c r="E206" i="121" s="1"/>
  <c r="D202" i="121" a="1"/>
  <c r="D202" i="121" s="1"/>
  <c r="D201" i="121" a="1"/>
  <c r="D201" i="121" s="1"/>
  <c r="G195" i="121" a="1"/>
  <c r="G195" i="121" s="1"/>
  <c r="D195" i="121" a="1"/>
  <c r="D195" i="121" s="1"/>
  <c r="E193" i="121" a="1"/>
  <c r="E193" i="121" s="1"/>
  <c r="E192" i="121" a="1"/>
  <c r="E192" i="121" s="1"/>
  <c r="D188" i="121" a="1"/>
  <c r="D188" i="121" s="1"/>
  <c r="D187" i="121" a="1"/>
  <c r="D187" i="121" s="1"/>
  <c r="D186" i="121" a="1"/>
  <c r="D186" i="121" s="1"/>
  <c r="E179" i="121"/>
  <c r="I179" i="121" s="1" a="1"/>
  <c r="I179" i="121" s="1"/>
  <c r="E178" i="121"/>
  <c r="I178" i="121" s="1" a="1"/>
  <c r="I178" i="121" s="1"/>
  <c r="E177" i="121"/>
  <c r="I177" i="121" s="1" a="1"/>
  <c r="I177" i="121" s="1"/>
  <c r="G172" i="121" a="1"/>
  <c r="G172" i="121" s="1"/>
  <c r="D172" i="121" a="1"/>
  <c r="D172" i="121" s="1"/>
  <c r="E170" i="121" a="1"/>
  <c r="E170" i="121" s="1"/>
  <c r="E169" i="121" a="1"/>
  <c r="E169" i="121" s="1"/>
  <c r="F168" i="121" a="1"/>
  <c r="F168" i="121" s="1"/>
  <c r="D165" i="121" a="1"/>
  <c r="D165" i="121" s="1"/>
  <c r="D164" i="121" a="1"/>
  <c r="D164" i="121" s="1"/>
  <c r="E153" i="121"/>
  <c r="E152" i="121"/>
  <c r="E151" i="121"/>
  <c r="E150" i="121"/>
  <c r="E149" i="121"/>
  <c r="E148" i="121"/>
  <c r="I148" i="121" s="1" a="1"/>
  <c r="I148" i="121" s="1"/>
  <c r="E140" i="121"/>
  <c r="E139" i="121"/>
  <c r="E138" i="121"/>
  <c r="I138" i="121" s="1" a="1"/>
  <c r="I138" i="121" s="1"/>
  <c r="I137" i="121" a="1"/>
  <c r="I137" i="121" s="1"/>
  <c r="E137" i="121"/>
  <c r="I121" i="121" a="1"/>
  <c r="I121" i="121" s="1"/>
  <c r="G107" i="121" a="1"/>
  <c r="G107" i="121" s="1"/>
  <c r="D107" i="121" a="1"/>
  <c r="D107" i="121" s="1"/>
  <c r="E105" i="121" a="1"/>
  <c r="E105" i="121" s="1"/>
  <c r="E104" i="121" a="1"/>
  <c r="E104" i="121" s="1"/>
  <c r="D100" i="121" a="1"/>
  <c r="D100" i="121" s="1"/>
  <c r="D99" i="121" a="1"/>
  <c r="D99" i="121" s="1"/>
  <c r="D98" i="121" a="1"/>
  <c r="D98" i="121" s="1"/>
  <c r="J62" i="121" a="1"/>
  <c r="J62" i="121" s="1"/>
  <c r="M24" i="121" a="1"/>
  <c r="M24" i="121" s="1"/>
  <c r="G13" i="121" a="1"/>
  <c r="G13" i="121" s="1"/>
  <c r="D13" i="121" a="1"/>
  <c r="D13" i="121" s="1"/>
  <c r="E11" i="121" a="1"/>
  <c r="E11" i="121" s="1"/>
  <c r="E10" i="121"/>
  <c r="E10" i="121" a="1"/>
  <c r="D6" i="121" a="1"/>
  <c r="D6" i="121" s="1"/>
  <c r="D5" i="121" a="1"/>
  <c r="D5" i="121" s="1"/>
  <c r="R19" i="117"/>
  <c r="H19" i="117"/>
  <c r="O19" i="117" s="1"/>
  <c r="H18" i="117"/>
  <c r="R18" i="117" s="1"/>
  <c r="R17" i="117"/>
  <c r="O17" i="117"/>
  <c r="L17" i="117"/>
  <c r="H17" i="117"/>
  <c r="R16" i="117"/>
  <c r="O16" i="117"/>
  <c r="L16" i="117"/>
  <c r="H16" i="117"/>
  <c r="H15" i="117"/>
  <c r="L15" i="117" s="1"/>
  <c r="R14" i="117"/>
  <c r="H14" i="117"/>
  <c r="O14" i="117" s="1"/>
  <c r="R13" i="117"/>
  <c r="O13" i="117"/>
  <c r="H13" i="117"/>
  <c r="L13" i="117" s="1"/>
  <c r="H12" i="117"/>
  <c r="O12" i="117" s="1"/>
  <c r="R11" i="117"/>
  <c r="O11" i="117"/>
  <c r="L11" i="117"/>
  <c r="H11" i="117"/>
  <c r="R10" i="117"/>
  <c r="L10" i="117"/>
  <c r="H10" i="117"/>
  <c r="O10" i="117" s="1"/>
  <c r="Q8" i="117" a="1"/>
  <c r="Q8" i="117" s="1"/>
  <c r="N8" i="117"/>
  <c r="N8" i="117" a="1"/>
  <c r="K8" i="117" a="1"/>
  <c r="K8" i="117" s="1"/>
  <c r="F235" i="114" a="1"/>
  <c r="F235" i="114" s="1"/>
  <c r="E235" i="114" a="1"/>
  <c r="E235" i="114" s="1"/>
  <c r="D235" i="114" a="1"/>
  <c r="D235" i="114" s="1"/>
  <c r="F234" i="114" a="1"/>
  <c r="F234" i="114" s="1"/>
  <c r="E234" i="114" a="1"/>
  <c r="E234" i="114" s="1"/>
  <c r="D234" i="114" a="1"/>
  <c r="D234" i="114" s="1"/>
  <c r="F233" i="114" a="1"/>
  <c r="F233" i="114" s="1"/>
  <c r="E233" i="114" a="1"/>
  <c r="E233" i="114" s="1"/>
  <c r="D233" i="114" a="1"/>
  <c r="D233" i="114" s="1"/>
  <c r="F232" i="114" a="1"/>
  <c r="F232" i="114" s="1"/>
  <c r="E232" i="114" a="1"/>
  <c r="E232" i="114" s="1"/>
  <c r="D232" i="114" a="1"/>
  <c r="D232" i="114" s="1"/>
  <c r="F231" i="114" a="1"/>
  <c r="F231" i="114" s="1"/>
  <c r="E231" i="114" a="1"/>
  <c r="E231" i="114" s="1"/>
  <c r="D231" i="114" a="1"/>
  <c r="D231" i="114" s="1"/>
  <c r="F230" i="114" a="1"/>
  <c r="F230" i="114" s="1"/>
  <c r="E230" i="114" a="1"/>
  <c r="E230" i="114" s="1"/>
  <c r="D230" i="114" a="1"/>
  <c r="D230" i="114" s="1"/>
  <c r="F229" i="114" a="1"/>
  <c r="F229" i="114" s="1"/>
  <c r="E229" i="114" a="1"/>
  <c r="E229" i="114" s="1"/>
  <c r="D229" i="114" a="1"/>
  <c r="D229" i="114" s="1"/>
  <c r="F228" i="114" a="1"/>
  <c r="F228" i="114" s="1"/>
  <c r="E228" i="114" a="1"/>
  <c r="E228" i="114" s="1"/>
  <c r="D228" i="114" a="1"/>
  <c r="D228" i="114" s="1"/>
  <c r="F227" i="114" a="1"/>
  <c r="F227" i="114" s="1"/>
  <c r="E227" i="114" a="1"/>
  <c r="E227" i="114" s="1"/>
  <c r="D227" i="114" a="1"/>
  <c r="D227" i="114" s="1"/>
  <c r="F226" i="114" a="1"/>
  <c r="F226" i="114" s="1"/>
  <c r="E226" i="114" a="1"/>
  <c r="E226" i="114" s="1"/>
  <c r="D226" i="114" a="1"/>
  <c r="D226" i="114" s="1"/>
  <c r="F225" i="114" a="1"/>
  <c r="F225" i="114" s="1"/>
  <c r="E225" i="114" a="1"/>
  <c r="E225" i="114" s="1"/>
  <c r="D225" i="114" a="1"/>
  <c r="D225" i="114" s="1"/>
  <c r="F224" i="114" a="1"/>
  <c r="F224" i="114" s="1"/>
  <c r="E224" i="114" a="1"/>
  <c r="E224" i="114" s="1"/>
  <c r="D224" i="114" a="1"/>
  <c r="D224" i="114" s="1"/>
  <c r="F223" i="114" a="1"/>
  <c r="F223" i="114" s="1"/>
  <c r="E223" i="114" a="1"/>
  <c r="E223" i="114" s="1"/>
  <c r="D223" i="114" a="1"/>
  <c r="D223" i="114" s="1"/>
  <c r="F222" i="114" a="1"/>
  <c r="F222" i="114" s="1"/>
  <c r="E222" i="114" a="1"/>
  <c r="E222" i="114" s="1"/>
  <c r="D222" i="114" a="1"/>
  <c r="D222" i="114" s="1"/>
  <c r="F221" i="114" a="1"/>
  <c r="F221" i="114" s="1"/>
  <c r="E221" i="114" a="1"/>
  <c r="E221" i="114" s="1"/>
  <c r="D221" i="114" a="1"/>
  <c r="D221" i="114" s="1"/>
  <c r="F220" i="114" a="1"/>
  <c r="F220" i="114" s="1"/>
  <c r="E220" i="114" a="1"/>
  <c r="E220" i="114" s="1"/>
  <c r="D220" i="114" a="1"/>
  <c r="D220" i="114" s="1"/>
  <c r="F219" i="114" a="1"/>
  <c r="F219" i="114" s="1"/>
  <c r="E219" i="114" a="1"/>
  <c r="E219" i="114" s="1"/>
  <c r="D219" i="114" a="1"/>
  <c r="D219" i="114" s="1"/>
  <c r="F218" i="114" a="1"/>
  <c r="F218" i="114" s="1"/>
  <c r="E218" i="114" a="1"/>
  <c r="E218" i="114" s="1"/>
  <c r="D218" i="114" a="1"/>
  <c r="D218" i="114" s="1"/>
  <c r="F217" i="114" a="1"/>
  <c r="F217" i="114" s="1"/>
  <c r="E217" i="114" a="1"/>
  <c r="E217" i="114" s="1"/>
  <c r="D217" i="114" a="1"/>
  <c r="D217" i="114" s="1"/>
  <c r="F216" i="114" a="1"/>
  <c r="F216" i="114" s="1"/>
  <c r="E216" i="114" a="1"/>
  <c r="E216" i="114" s="1"/>
  <c r="D216" i="114" a="1"/>
  <c r="D216" i="114" s="1"/>
  <c r="F215" i="114" a="1"/>
  <c r="F215" i="114" s="1"/>
  <c r="E215" i="114" a="1"/>
  <c r="E215" i="114" s="1"/>
  <c r="D215" i="114" a="1"/>
  <c r="D215" i="114" s="1"/>
  <c r="F214" i="114" a="1"/>
  <c r="F214" i="114" s="1"/>
  <c r="E214" i="114" a="1"/>
  <c r="E214" i="114" s="1"/>
  <c r="D214" i="114" a="1"/>
  <c r="D214" i="114" s="1"/>
  <c r="F213" i="114" a="1"/>
  <c r="F213" i="114" s="1"/>
  <c r="E213" i="114" a="1"/>
  <c r="E213" i="114" s="1"/>
  <c r="D213" i="114" a="1"/>
  <c r="D213" i="114" s="1"/>
  <c r="F212" i="114" a="1"/>
  <c r="F212" i="114" s="1"/>
  <c r="E212" i="114" a="1"/>
  <c r="E212" i="114" s="1"/>
  <c r="D212" i="114" a="1"/>
  <c r="D212" i="114" s="1"/>
  <c r="F211" i="114" a="1"/>
  <c r="F211" i="114" s="1"/>
  <c r="E211" i="114" a="1"/>
  <c r="E211" i="114" s="1"/>
  <c r="D211" i="114" a="1"/>
  <c r="D211" i="114" s="1"/>
  <c r="F210" i="114" a="1"/>
  <c r="F210" i="114" s="1"/>
  <c r="E210" i="114" a="1"/>
  <c r="E210" i="114" s="1"/>
  <c r="D210" i="114" a="1"/>
  <c r="D210" i="114" s="1"/>
  <c r="F209" i="114" a="1"/>
  <c r="F209" i="114" s="1"/>
  <c r="E209" i="114" a="1"/>
  <c r="E209" i="114" s="1"/>
  <c r="D209" i="114" a="1"/>
  <c r="D209" i="114" s="1"/>
  <c r="F208" i="114" a="1"/>
  <c r="F208" i="114" s="1"/>
  <c r="E208" i="114" a="1"/>
  <c r="E208" i="114" s="1"/>
  <c r="D208" i="114" a="1"/>
  <c r="D208" i="114" s="1"/>
  <c r="F207" i="114" a="1"/>
  <c r="F207" i="114" s="1"/>
  <c r="E207" i="114" a="1"/>
  <c r="E207" i="114" s="1"/>
  <c r="D207" i="114" a="1"/>
  <c r="D207" i="114" s="1"/>
  <c r="F206" i="114" a="1"/>
  <c r="F206" i="114" s="1"/>
  <c r="E206" i="114" a="1"/>
  <c r="E206" i="114" s="1"/>
  <c r="D206" i="114" a="1"/>
  <c r="D206" i="114" s="1"/>
  <c r="F205" i="114" a="1"/>
  <c r="F205" i="114" s="1"/>
  <c r="E205" i="114" a="1"/>
  <c r="E205" i="114" s="1"/>
  <c r="D205" i="114" a="1"/>
  <c r="D205" i="114" s="1"/>
  <c r="F204" i="114" a="1"/>
  <c r="F204" i="114" s="1"/>
  <c r="E204" i="114" a="1"/>
  <c r="E204" i="114" s="1"/>
  <c r="D204" i="114" a="1"/>
  <c r="D204" i="114" s="1"/>
  <c r="F203" i="114" a="1"/>
  <c r="F203" i="114" s="1"/>
  <c r="E203" i="114" a="1"/>
  <c r="E203" i="114" s="1"/>
  <c r="D203" i="114" a="1"/>
  <c r="D203" i="114" s="1"/>
  <c r="F202" i="114" a="1"/>
  <c r="F202" i="114" s="1"/>
  <c r="E202" i="114" a="1"/>
  <c r="E202" i="114" s="1"/>
  <c r="D202" i="114" a="1"/>
  <c r="D202" i="114" s="1"/>
  <c r="F201" i="114" a="1"/>
  <c r="F201" i="114" s="1"/>
  <c r="E201" i="114" a="1"/>
  <c r="E201" i="114" s="1"/>
  <c r="D201" i="114" a="1"/>
  <c r="D201" i="114" s="1"/>
  <c r="F200" i="114" a="1"/>
  <c r="F200" i="114" s="1"/>
  <c r="E200" i="114" a="1"/>
  <c r="E200" i="114" s="1"/>
  <c r="D200" i="114" a="1"/>
  <c r="D200" i="114" s="1"/>
  <c r="F199" i="114" a="1"/>
  <c r="F199" i="114" s="1"/>
  <c r="E199" i="114" a="1"/>
  <c r="E199" i="114" s="1"/>
  <c r="D199" i="114" a="1"/>
  <c r="D199" i="114" s="1"/>
  <c r="F198" i="114" a="1"/>
  <c r="F198" i="114" s="1"/>
  <c r="E198" i="114" a="1"/>
  <c r="E198" i="114" s="1"/>
  <c r="D198" i="114" a="1"/>
  <c r="D198" i="114" s="1"/>
  <c r="F197" i="114" a="1"/>
  <c r="F197" i="114" s="1"/>
  <c r="E197" i="114" a="1"/>
  <c r="E197" i="114" s="1"/>
  <c r="D197" i="114" a="1"/>
  <c r="D197" i="114" s="1"/>
  <c r="F196" i="114" a="1"/>
  <c r="F196" i="114" s="1"/>
  <c r="E196" i="114" a="1"/>
  <c r="E196" i="114" s="1"/>
  <c r="D196" i="114" a="1"/>
  <c r="D196" i="114" s="1"/>
  <c r="F195" i="114" a="1"/>
  <c r="F195" i="114" s="1"/>
  <c r="E195" i="114" a="1"/>
  <c r="E195" i="114" s="1"/>
  <c r="D195" i="114" a="1"/>
  <c r="D195" i="114" s="1"/>
  <c r="F194" i="114" a="1"/>
  <c r="F194" i="114" s="1"/>
  <c r="E194" i="114" a="1"/>
  <c r="E194" i="114" s="1"/>
  <c r="D194" i="114" a="1"/>
  <c r="D194" i="114" s="1"/>
  <c r="F193" i="114" a="1"/>
  <c r="F193" i="114" s="1"/>
  <c r="E193" i="114" a="1"/>
  <c r="E193" i="114" s="1"/>
  <c r="D193" i="114" a="1"/>
  <c r="D193" i="114" s="1"/>
  <c r="F192" i="114" a="1"/>
  <c r="F192" i="114" s="1"/>
  <c r="E192" i="114" a="1"/>
  <c r="E192" i="114" s="1"/>
  <c r="D192" i="114" a="1"/>
  <c r="D192" i="114" s="1"/>
  <c r="F191" i="114" a="1"/>
  <c r="F191" i="114" s="1"/>
  <c r="E191" i="114" a="1"/>
  <c r="E191" i="114" s="1"/>
  <c r="D191" i="114" a="1"/>
  <c r="D191" i="114" s="1"/>
  <c r="F190" i="114" a="1"/>
  <c r="F190" i="114" s="1"/>
  <c r="E190" i="114" a="1"/>
  <c r="E190" i="114" s="1"/>
  <c r="D190" i="114" a="1"/>
  <c r="D190" i="114" s="1"/>
  <c r="F189" i="114" a="1"/>
  <c r="F189" i="114" s="1"/>
  <c r="E189" i="114" a="1"/>
  <c r="E189" i="114" s="1"/>
  <c r="D189" i="114" a="1"/>
  <c r="D189" i="114" s="1"/>
  <c r="F188" i="114" a="1"/>
  <c r="F188" i="114" s="1"/>
  <c r="E188" i="114" a="1"/>
  <c r="E188" i="114" s="1"/>
  <c r="D188" i="114" a="1"/>
  <c r="D188" i="114" s="1"/>
  <c r="F187" i="114" a="1"/>
  <c r="F187" i="114" s="1"/>
  <c r="E187" i="114" a="1"/>
  <c r="E187" i="114" s="1"/>
  <c r="D187" i="114" a="1"/>
  <c r="D187" i="114" s="1"/>
  <c r="F186" i="114" a="1"/>
  <c r="F186" i="114" s="1"/>
  <c r="E186" i="114" a="1"/>
  <c r="E186" i="114" s="1"/>
  <c r="D186" i="114" a="1"/>
  <c r="D186" i="114" s="1"/>
  <c r="F185" i="114" a="1"/>
  <c r="F185" i="114" s="1"/>
  <c r="E185" i="114" a="1"/>
  <c r="E185" i="114" s="1"/>
  <c r="D185" i="114" a="1"/>
  <c r="D185" i="114" s="1"/>
  <c r="F184" i="114" a="1"/>
  <c r="F184" i="114" s="1"/>
  <c r="E184" i="114" a="1"/>
  <c r="E184" i="114" s="1"/>
  <c r="D184" i="114" a="1"/>
  <c r="D184" i="114" s="1"/>
  <c r="F183" i="114" a="1"/>
  <c r="F183" i="114" s="1"/>
  <c r="E183" i="114" a="1"/>
  <c r="E183" i="114" s="1"/>
  <c r="D183" i="114" a="1"/>
  <c r="D183" i="114" s="1"/>
  <c r="F182" i="114" a="1"/>
  <c r="F182" i="114" s="1"/>
  <c r="E182" i="114" a="1"/>
  <c r="E182" i="114" s="1"/>
  <c r="D182" i="114" a="1"/>
  <c r="D182" i="114" s="1"/>
  <c r="F181" i="114" a="1"/>
  <c r="F181" i="114" s="1"/>
  <c r="E181" i="114" a="1"/>
  <c r="E181" i="114" s="1"/>
  <c r="D181" i="114" a="1"/>
  <c r="D181" i="114" s="1"/>
  <c r="F180" i="114" a="1"/>
  <c r="F180" i="114" s="1"/>
  <c r="E180" i="114" a="1"/>
  <c r="E180" i="114" s="1"/>
  <c r="D180" i="114" a="1"/>
  <c r="D180" i="114" s="1"/>
  <c r="F179" i="114" a="1"/>
  <c r="F179" i="114" s="1"/>
  <c r="E179" i="114" a="1"/>
  <c r="E179" i="114" s="1"/>
  <c r="D179" i="114" a="1"/>
  <c r="D179" i="114" s="1"/>
  <c r="F178" i="114" a="1"/>
  <c r="F178" i="114" s="1"/>
  <c r="E178" i="114" a="1"/>
  <c r="E178" i="114" s="1"/>
  <c r="D178" i="114" a="1"/>
  <c r="D178" i="114" s="1"/>
  <c r="F177" i="114" a="1"/>
  <c r="F177" i="114" s="1"/>
  <c r="E177" i="114" a="1"/>
  <c r="E177" i="114" s="1"/>
  <c r="D177" i="114" a="1"/>
  <c r="D177" i="114" s="1"/>
  <c r="F176" i="114" a="1"/>
  <c r="F176" i="114" s="1"/>
  <c r="E176" i="114" a="1"/>
  <c r="E176" i="114" s="1"/>
  <c r="D176" i="114" a="1"/>
  <c r="D176" i="114" s="1"/>
  <c r="F175" i="114" a="1"/>
  <c r="F175" i="114" s="1"/>
  <c r="E175" i="114" a="1"/>
  <c r="E175" i="114" s="1"/>
  <c r="D175" i="114" a="1"/>
  <c r="D175" i="114" s="1"/>
  <c r="F174" i="114" a="1"/>
  <c r="F174" i="114" s="1"/>
  <c r="E174" i="114" a="1"/>
  <c r="E174" i="114" s="1"/>
  <c r="D174" i="114" a="1"/>
  <c r="D174" i="114" s="1"/>
  <c r="F173" i="114" a="1"/>
  <c r="F173" i="114" s="1"/>
  <c r="E173" i="114" a="1"/>
  <c r="E173" i="114" s="1"/>
  <c r="D173" i="114" a="1"/>
  <c r="D173" i="114" s="1"/>
  <c r="F172" i="114" a="1"/>
  <c r="F172" i="114" s="1"/>
  <c r="E172" i="114" a="1"/>
  <c r="E172" i="114" s="1"/>
  <c r="D172" i="114" a="1"/>
  <c r="D172" i="114" s="1"/>
  <c r="F171" i="114" a="1"/>
  <c r="F171" i="114" s="1"/>
  <c r="E171" i="114" a="1"/>
  <c r="E171" i="114" s="1"/>
  <c r="D171" i="114" a="1"/>
  <c r="D171" i="114" s="1"/>
  <c r="F170" i="114" a="1"/>
  <c r="F170" i="114" s="1"/>
  <c r="E170" i="114" a="1"/>
  <c r="E170" i="114" s="1"/>
  <c r="D170" i="114" a="1"/>
  <c r="D170" i="114" s="1"/>
  <c r="F169" i="114" a="1"/>
  <c r="F169" i="114" s="1"/>
  <c r="E169" i="114" a="1"/>
  <c r="E169" i="114" s="1"/>
  <c r="D169" i="114" a="1"/>
  <c r="D169" i="114" s="1"/>
  <c r="F168" i="114" a="1"/>
  <c r="F168" i="114" s="1"/>
  <c r="E168" i="114" a="1"/>
  <c r="E168" i="114" s="1"/>
  <c r="D168" i="114" a="1"/>
  <c r="D168" i="114" s="1"/>
  <c r="F167" i="114" a="1"/>
  <c r="F167" i="114" s="1"/>
  <c r="E167" i="114" a="1"/>
  <c r="E167" i="114" s="1"/>
  <c r="D167" i="114" a="1"/>
  <c r="D167" i="114" s="1"/>
  <c r="F166" i="114" a="1"/>
  <c r="F166" i="114" s="1"/>
  <c r="E166" i="114" a="1"/>
  <c r="E166" i="114" s="1"/>
  <c r="D166" i="114" a="1"/>
  <c r="D166" i="114" s="1"/>
  <c r="F165" i="114" a="1"/>
  <c r="F165" i="114" s="1"/>
  <c r="E165" i="114" a="1"/>
  <c r="E165" i="114" s="1"/>
  <c r="D165" i="114" a="1"/>
  <c r="D165" i="114" s="1"/>
  <c r="F164" i="114" a="1"/>
  <c r="F164" i="114" s="1"/>
  <c r="E164" i="114" a="1"/>
  <c r="E164" i="114" s="1"/>
  <c r="D164" i="114" a="1"/>
  <c r="D164" i="114" s="1"/>
  <c r="F163" i="114" a="1"/>
  <c r="F163" i="114" s="1"/>
  <c r="E163" i="114" a="1"/>
  <c r="E163" i="114" s="1"/>
  <c r="D163" i="114" a="1"/>
  <c r="D163" i="114" s="1"/>
  <c r="F162" i="114" a="1"/>
  <c r="F162" i="114" s="1"/>
  <c r="E162" i="114" a="1"/>
  <c r="E162" i="114" s="1"/>
  <c r="D162" i="114" a="1"/>
  <c r="D162" i="114" s="1"/>
  <c r="F161" i="114" a="1"/>
  <c r="F161" i="114" s="1"/>
  <c r="E161" i="114" a="1"/>
  <c r="E161" i="114" s="1"/>
  <c r="D161" i="114" a="1"/>
  <c r="D161" i="114" s="1"/>
  <c r="F160" i="114" a="1"/>
  <c r="F160" i="114" s="1"/>
  <c r="E160" i="114" a="1"/>
  <c r="E160" i="114" s="1"/>
  <c r="D160" i="114" a="1"/>
  <c r="D160" i="114" s="1"/>
  <c r="F159" i="114" a="1"/>
  <c r="F159" i="114" s="1"/>
  <c r="E159" i="114" a="1"/>
  <c r="E159" i="114" s="1"/>
  <c r="D159" i="114" a="1"/>
  <c r="D159" i="114" s="1"/>
  <c r="F158" i="114" a="1"/>
  <c r="F158" i="114" s="1"/>
  <c r="E158" i="114" a="1"/>
  <c r="E158" i="114" s="1"/>
  <c r="D158" i="114" a="1"/>
  <c r="D158" i="114" s="1"/>
  <c r="F157" i="114" a="1"/>
  <c r="F157" i="114" s="1"/>
  <c r="E157" i="114" a="1"/>
  <c r="E157" i="114" s="1"/>
  <c r="D157" i="114" a="1"/>
  <c r="D157" i="114" s="1"/>
  <c r="F156" i="114" a="1"/>
  <c r="F156" i="114" s="1"/>
  <c r="E156" i="114" a="1"/>
  <c r="E156" i="114" s="1"/>
  <c r="D156" i="114" a="1"/>
  <c r="D156" i="114" s="1"/>
  <c r="F155" i="114" a="1"/>
  <c r="F155" i="114" s="1"/>
  <c r="E155" i="114" a="1"/>
  <c r="E155" i="114" s="1"/>
  <c r="D155" i="114" a="1"/>
  <c r="D155" i="114" s="1"/>
  <c r="F154" i="114" a="1"/>
  <c r="F154" i="114" s="1"/>
  <c r="E154" i="114" a="1"/>
  <c r="E154" i="114" s="1"/>
  <c r="D154" i="114" a="1"/>
  <c r="D154" i="114" s="1"/>
  <c r="F153" i="114" a="1"/>
  <c r="F153" i="114" s="1"/>
  <c r="E153" i="114" a="1"/>
  <c r="E153" i="114" s="1"/>
  <c r="D153" i="114" a="1"/>
  <c r="D153" i="114" s="1"/>
  <c r="F152" i="114" a="1"/>
  <c r="F152" i="114" s="1"/>
  <c r="E152" i="114" a="1"/>
  <c r="E152" i="114" s="1"/>
  <c r="D152" i="114" a="1"/>
  <c r="D152" i="114" s="1"/>
  <c r="F151" i="114" a="1"/>
  <c r="F151" i="114" s="1"/>
  <c r="E151" i="114" a="1"/>
  <c r="E151" i="114" s="1"/>
  <c r="D151" i="114" a="1"/>
  <c r="D151" i="114" s="1"/>
  <c r="F150" i="114" a="1"/>
  <c r="F150" i="114" s="1"/>
  <c r="E150" i="114" a="1"/>
  <c r="E150" i="114" s="1"/>
  <c r="D150" i="114" a="1"/>
  <c r="D150" i="114" s="1"/>
  <c r="F149" i="114" a="1"/>
  <c r="F149" i="114" s="1"/>
  <c r="E149" i="114" a="1"/>
  <c r="E149" i="114" s="1"/>
  <c r="D149" i="114" a="1"/>
  <c r="D149" i="114" s="1"/>
  <c r="F148" i="114" a="1"/>
  <c r="F148" i="114" s="1"/>
  <c r="E148" i="114" a="1"/>
  <c r="E148" i="114" s="1"/>
  <c r="D148" i="114" a="1"/>
  <c r="D148" i="114" s="1"/>
  <c r="F147" i="114" a="1"/>
  <c r="F147" i="114" s="1"/>
  <c r="E147" i="114" a="1"/>
  <c r="E147" i="114" s="1"/>
  <c r="D147" i="114" a="1"/>
  <c r="D147" i="114" s="1"/>
  <c r="F146" i="114" a="1"/>
  <c r="F146" i="114" s="1"/>
  <c r="E146" i="114" a="1"/>
  <c r="E146" i="114" s="1"/>
  <c r="D146" i="114" a="1"/>
  <c r="D146" i="114" s="1"/>
  <c r="F145" i="114" a="1"/>
  <c r="F145" i="114" s="1"/>
  <c r="E145" i="114" a="1"/>
  <c r="E145" i="114" s="1"/>
  <c r="D145" i="114" a="1"/>
  <c r="D145" i="114" s="1"/>
  <c r="F144" i="114" a="1"/>
  <c r="F144" i="114" s="1"/>
  <c r="E144" i="114" a="1"/>
  <c r="E144" i="114" s="1"/>
  <c r="D144" i="114" a="1"/>
  <c r="D144" i="114" s="1"/>
  <c r="F143" i="114" a="1"/>
  <c r="F143" i="114" s="1"/>
  <c r="E143" i="114" a="1"/>
  <c r="E143" i="114" s="1"/>
  <c r="D143" i="114" a="1"/>
  <c r="D143" i="114" s="1"/>
  <c r="F142" i="114" a="1"/>
  <c r="F142" i="114" s="1"/>
  <c r="E142" i="114" a="1"/>
  <c r="E142" i="114" s="1"/>
  <c r="D142" i="114" a="1"/>
  <c r="D142" i="114" s="1"/>
  <c r="F141" i="114" a="1"/>
  <c r="F141" i="114" s="1"/>
  <c r="E141" i="114" a="1"/>
  <c r="E141" i="114" s="1"/>
  <c r="D141" i="114" a="1"/>
  <c r="D141" i="114" s="1"/>
  <c r="F140" i="114" a="1"/>
  <c r="F140" i="114" s="1"/>
  <c r="E140" i="114" a="1"/>
  <c r="E140" i="114" s="1"/>
  <c r="D140" i="114" a="1"/>
  <c r="D140" i="114" s="1"/>
  <c r="F139" i="114" a="1"/>
  <c r="F139" i="114" s="1"/>
  <c r="E139" i="114" a="1"/>
  <c r="E139" i="114" s="1"/>
  <c r="D139" i="114" a="1"/>
  <c r="D139" i="114" s="1"/>
  <c r="F138" i="114" a="1"/>
  <c r="F138" i="114" s="1"/>
  <c r="E138" i="114" a="1"/>
  <c r="E138" i="114" s="1"/>
  <c r="D138" i="114" a="1"/>
  <c r="D138" i="114" s="1"/>
  <c r="F137" i="114" a="1"/>
  <c r="F137" i="114" s="1"/>
  <c r="E137" i="114" a="1"/>
  <c r="E137" i="114" s="1"/>
  <c r="D137" i="114" a="1"/>
  <c r="D137" i="114" s="1"/>
  <c r="F136" i="114" a="1"/>
  <c r="F136" i="114" s="1"/>
  <c r="E136" i="114" a="1"/>
  <c r="E136" i="114" s="1"/>
  <c r="D136" i="114" a="1"/>
  <c r="D136" i="114" s="1"/>
  <c r="F135" i="114" a="1"/>
  <c r="F135" i="114" s="1"/>
  <c r="E135" i="114" a="1"/>
  <c r="E135" i="114" s="1"/>
  <c r="D135" i="114" a="1"/>
  <c r="D135" i="114" s="1"/>
  <c r="F134" i="114" a="1"/>
  <c r="F134" i="114" s="1"/>
  <c r="E134" i="114" a="1"/>
  <c r="E134" i="114" s="1"/>
  <c r="D134" i="114" a="1"/>
  <c r="D134" i="114" s="1"/>
  <c r="F133" i="114" a="1"/>
  <c r="F133" i="114" s="1"/>
  <c r="E133" i="114" a="1"/>
  <c r="E133" i="114" s="1"/>
  <c r="D133" i="114" a="1"/>
  <c r="D133" i="114" s="1"/>
  <c r="F132" i="114" a="1"/>
  <c r="F132" i="114" s="1"/>
  <c r="E132" i="114" a="1"/>
  <c r="E132" i="114" s="1"/>
  <c r="D132" i="114" a="1"/>
  <c r="D132" i="114" s="1"/>
  <c r="F131" i="114" a="1"/>
  <c r="F131" i="114" s="1"/>
  <c r="E131" i="114" a="1"/>
  <c r="E131" i="114" s="1"/>
  <c r="D131" i="114" a="1"/>
  <c r="D131" i="114" s="1"/>
  <c r="F130" i="114" a="1"/>
  <c r="F130" i="114" s="1"/>
  <c r="E130" i="114" a="1"/>
  <c r="E130" i="114" s="1"/>
  <c r="D130" i="114" a="1"/>
  <c r="D130" i="114" s="1"/>
  <c r="F129" i="114" a="1"/>
  <c r="F129" i="114" s="1"/>
  <c r="E129" i="114" a="1"/>
  <c r="E129" i="114" s="1"/>
  <c r="D129" i="114" a="1"/>
  <c r="D129" i="114" s="1"/>
  <c r="F128" i="114" a="1"/>
  <c r="F128" i="114" s="1"/>
  <c r="E128" i="114" a="1"/>
  <c r="E128" i="114" s="1"/>
  <c r="D128" i="114" a="1"/>
  <c r="D128" i="114" s="1"/>
  <c r="F127" i="114" a="1"/>
  <c r="F127" i="114" s="1"/>
  <c r="E127" i="114" a="1"/>
  <c r="E127" i="114" s="1"/>
  <c r="D127" i="114" a="1"/>
  <c r="D127" i="114" s="1"/>
  <c r="F126" i="114" a="1"/>
  <c r="F126" i="114" s="1"/>
  <c r="E126" i="114" a="1"/>
  <c r="E126" i="114" s="1"/>
  <c r="D126" i="114" a="1"/>
  <c r="D126" i="114" s="1"/>
  <c r="F125" i="114" a="1"/>
  <c r="F125" i="114" s="1"/>
  <c r="E125" i="114" a="1"/>
  <c r="E125" i="114" s="1"/>
  <c r="D125" i="114" a="1"/>
  <c r="D125" i="114" s="1"/>
  <c r="F124" i="114" a="1"/>
  <c r="F124" i="114" s="1"/>
  <c r="E124" i="114" a="1"/>
  <c r="E124" i="114" s="1"/>
  <c r="D124" i="114" a="1"/>
  <c r="D124" i="114" s="1"/>
  <c r="F123" i="114" a="1"/>
  <c r="F123" i="114" s="1"/>
  <c r="E123" i="114" a="1"/>
  <c r="E123" i="114" s="1"/>
  <c r="D123" i="114" a="1"/>
  <c r="D123" i="114" s="1"/>
  <c r="F122" i="114" a="1"/>
  <c r="F122" i="114" s="1"/>
  <c r="E122" i="114" a="1"/>
  <c r="E122" i="114" s="1"/>
  <c r="D122" i="114" a="1"/>
  <c r="D122" i="114" s="1"/>
  <c r="F121" i="114" a="1"/>
  <c r="F121" i="114" s="1"/>
  <c r="E121" i="114" a="1"/>
  <c r="E121" i="114" s="1"/>
  <c r="D121" i="114" a="1"/>
  <c r="D121" i="114" s="1"/>
  <c r="F120" i="114" a="1"/>
  <c r="F120" i="114" s="1"/>
  <c r="E120" i="114" a="1"/>
  <c r="E120" i="114" s="1"/>
  <c r="D120" i="114" a="1"/>
  <c r="D120" i="114" s="1"/>
  <c r="F119" i="114" a="1"/>
  <c r="F119" i="114" s="1"/>
  <c r="E119" i="114" a="1"/>
  <c r="E119" i="114" s="1"/>
  <c r="D119" i="114" a="1"/>
  <c r="D119" i="114" s="1"/>
  <c r="F118" i="114" a="1"/>
  <c r="F118" i="114" s="1"/>
  <c r="E118" i="114" a="1"/>
  <c r="E118" i="114" s="1"/>
  <c r="D118" i="114" a="1"/>
  <c r="D118" i="114" s="1"/>
  <c r="F117" i="114" a="1"/>
  <c r="F117" i="114" s="1"/>
  <c r="E117" i="114" a="1"/>
  <c r="E117" i="114" s="1"/>
  <c r="D117" i="114" a="1"/>
  <c r="D117" i="114" s="1"/>
  <c r="F116" i="114" a="1"/>
  <c r="F116" i="114" s="1"/>
  <c r="E116" i="114" a="1"/>
  <c r="E116" i="114" s="1"/>
  <c r="D116" i="114" a="1"/>
  <c r="D116" i="114" s="1"/>
  <c r="F115" i="114" a="1"/>
  <c r="F115" i="114" s="1"/>
  <c r="E115" i="114" a="1"/>
  <c r="E115" i="114" s="1"/>
  <c r="D115" i="114" a="1"/>
  <c r="D115" i="114" s="1"/>
  <c r="F114" i="114" a="1"/>
  <c r="F114" i="114" s="1"/>
  <c r="E114" i="114" a="1"/>
  <c r="E114" i="114" s="1"/>
  <c r="D114" i="114" a="1"/>
  <c r="D114" i="114" s="1"/>
  <c r="F113" i="114" a="1"/>
  <c r="F113" i="114" s="1"/>
  <c r="E113" i="114" a="1"/>
  <c r="E113" i="114" s="1"/>
  <c r="D113" i="114" a="1"/>
  <c r="D113" i="114" s="1"/>
  <c r="F112" i="114" a="1"/>
  <c r="F112" i="114" s="1"/>
  <c r="E112" i="114" a="1"/>
  <c r="E112" i="114" s="1"/>
  <c r="D112" i="114" a="1"/>
  <c r="D112" i="114" s="1"/>
  <c r="F111" i="114" a="1"/>
  <c r="F111" i="114" s="1"/>
  <c r="E111" i="114" a="1"/>
  <c r="E111" i="114" s="1"/>
  <c r="D111" i="114" a="1"/>
  <c r="D111" i="114" s="1"/>
  <c r="F110" i="114" a="1"/>
  <c r="F110" i="114" s="1"/>
  <c r="E110" i="114" a="1"/>
  <c r="E110" i="114" s="1"/>
  <c r="D110" i="114" a="1"/>
  <c r="D110" i="114" s="1"/>
  <c r="F109" i="114" a="1"/>
  <c r="F109" i="114" s="1"/>
  <c r="E109" i="114" a="1"/>
  <c r="E109" i="114" s="1"/>
  <c r="D109" i="114" a="1"/>
  <c r="D109" i="114" s="1"/>
  <c r="F108" i="114" a="1"/>
  <c r="F108" i="114" s="1"/>
  <c r="E108" i="114" a="1"/>
  <c r="E108" i="114" s="1"/>
  <c r="D108" i="114" a="1"/>
  <c r="D108" i="114" s="1"/>
  <c r="F107" i="114" a="1"/>
  <c r="F107" i="114" s="1"/>
  <c r="E107" i="114" a="1"/>
  <c r="E107" i="114" s="1"/>
  <c r="D107" i="114" a="1"/>
  <c r="D107" i="114" s="1"/>
  <c r="F106" i="114" a="1"/>
  <c r="F106" i="114" s="1"/>
  <c r="E106" i="114" a="1"/>
  <c r="E106" i="114" s="1"/>
  <c r="D106" i="114" a="1"/>
  <c r="D106" i="114" s="1"/>
  <c r="F105" i="114" a="1"/>
  <c r="F105" i="114" s="1"/>
  <c r="E105" i="114" a="1"/>
  <c r="E105" i="114" s="1"/>
  <c r="D105" i="114" a="1"/>
  <c r="D105" i="114" s="1"/>
  <c r="F104" i="114" a="1"/>
  <c r="F104" i="114" s="1"/>
  <c r="E104" i="114" a="1"/>
  <c r="E104" i="114" s="1"/>
  <c r="D104" i="114" a="1"/>
  <c r="D104" i="114" s="1"/>
  <c r="F103" i="114" a="1"/>
  <c r="F103" i="114" s="1"/>
  <c r="E103" i="114" a="1"/>
  <c r="E103" i="114" s="1"/>
  <c r="D103" i="114" a="1"/>
  <c r="D103" i="114" s="1"/>
  <c r="F102" i="114" a="1"/>
  <c r="F102" i="114" s="1"/>
  <c r="E102" i="114" a="1"/>
  <c r="E102" i="114" s="1"/>
  <c r="D102" i="114" a="1"/>
  <c r="D102" i="114" s="1"/>
  <c r="F101" i="114" a="1"/>
  <c r="F101" i="114" s="1"/>
  <c r="E101" i="114" a="1"/>
  <c r="E101" i="114" s="1"/>
  <c r="D101" i="114" a="1"/>
  <c r="D101" i="114" s="1"/>
  <c r="F100" i="114" a="1"/>
  <c r="F100" i="114" s="1"/>
  <c r="E100" i="114" a="1"/>
  <c r="E100" i="114" s="1"/>
  <c r="D100" i="114" a="1"/>
  <c r="D100" i="114" s="1"/>
  <c r="F99" i="114" a="1"/>
  <c r="F99" i="114" s="1"/>
  <c r="E99" i="114" a="1"/>
  <c r="E99" i="114" s="1"/>
  <c r="D99" i="114" a="1"/>
  <c r="D99" i="114" s="1"/>
  <c r="F98" i="114" a="1"/>
  <c r="F98" i="114" s="1"/>
  <c r="E98" i="114" a="1"/>
  <c r="E98" i="114" s="1"/>
  <c r="D98" i="114" a="1"/>
  <c r="D98" i="114" s="1"/>
  <c r="F97" i="114" a="1"/>
  <c r="F97" i="114" s="1"/>
  <c r="E97" i="114" a="1"/>
  <c r="E97" i="114" s="1"/>
  <c r="D97" i="114" a="1"/>
  <c r="D97" i="114" s="1"/>
  <c r="F96" i="114" a="1"/>
  <c r="F96" i="114" s="1"/>
  <c r="E96" i="114" a="1"/>
  <c r="E96" i="114" s="1"/>
  <c r="D96" i="114" a="1"/>
  <c r="D96" i="114" s="1"/>
  <c r="F95" i="114" a="1"/>
  <c r="F95" i="114" s="1"/>
  <c r="E95" i="114" a="1"/>
  <c r="E95" i="114" s="1"/>
  <c r="D95" i="114" a="1"/>
  <c r="D95" i="114" s="1"/>
  <c r="F94" i="114" a="1"/>
  <c r="F94" i="114" s="1"/>
  <c r="E94" i="114" a="1"/>
  <c r="E94" i="114" s="1"/>
  <c r="D94" i="114" a="1"/>
  <c r="D94" i="114" s="1"/>
  <c r="F93" i="114" a="1"/>
  <c r="F93" i="114" s="1"/>
  <c r="E93" i="114" a="1"/>
  <c r="E93" i="114" s="1"/>
  <c r="D93" i="114" a="1"/>
  <c r="D93" i="114" s="1"/>
  <c r="D91" i="114" a="1"/>
  <c r="D91" i="114" s="1"/>
  <c r="F89" i="114" a="1"/>
  <c r="F89" i="114" s="1"/>
  <c r="E89" i="114" a="1"/>
  <c r="E89" i="114" s="1"/>
  <c r="D89" i="114" a="1"/>
  <c r="D89" i="114" s="1"/>
  <c r="F88" i="114" a="1"/>
  <c r="F88" i="114" s="1"/>
  <c r="E88" i="114" a="1"/>
  <c r="E88" i="114" s="1"/>
  <c r="D88" i="114" a="1"/>
  <c r="D88" i="114" s="1"/>
  <c r="F87" i="114" a="1"/>
  <c r="F87" i="114" s="1"/>
  <c r="E87" i="114" a="1"/>
  <c r="E87" i="114" s="1"/>
  <c r="D87" i="114" a="1"/>
  <c r="D87" i="114" s="1"/>
  <c r="F86" i="114" a="1"/>
  <c r="F86" i="114" s="1"/>
  <c r="E86" i="114" a="1"/>
  <c r="E86" i="114" s="1"/>
  <c r="D86" i="114" a="1"/>
  <c r="D86" i="114" s="1"/>
  <c r="F85" i="114" a="1"/>
  <c r="F85" i="114" s="1"/>
  <c r="E85" i="114" a="1"/>
  <c r="E85" i="114" s="1"/>
  <c r="D85" i="114" a="1"/>
  <c r="D85" i="114" s="1"/>
  <c r="F84" i="114" a="1"/>
  <c r="F84" i="114" s="1"/>
  <c r="E84" i="114" a="1"/>
  <c r="E84" i="114" s="1"/>
  <c r="D84" i="114" a="1"/>
  <c r="D84" i="114" s="1"/>
  <c r="F83" i="114" a="1"/>
  <c r="F83" i="114" s="1"/>
  <c r="E83" i="114" a="1"/>
  <c r="E83" i="114" s="1"/>
  <c r="D83" i="114" a="1"/>
  <c r="D83" i="114" s="1"/>
  <c r="F82" i="114" a="1"/>
  <c r="F82" i="114" s="1"/>
  <c r="E82" i="114" a="1"/>
  <c r="E82" i="114" s="1"/>
  <c r="D82" i="114" a="1"/>
  <c r="D82" i="114" s="1"/>
  <c r="F81" i="114" a="1"/>
  <c r="F81" i="114" s="1"/>
  <c r="E81" i="114" a="1"/>
  <c r="E81" i="114" s="1"/>
  <c r="D81" i="114" a="1"/>
  <c r="D81" i="114" s="1"/>
  <c r="F80" i="114" a="1"/>
  <c r="F80" i="114" s="1"/>
  <c r="E80" i="114" a="1"/>
  <c r="E80" i="114" s="1"/>
  <c r="D80" i="114" a="1"/>
  <c r="D80" i="114" s="1"/>
  <c r="F79" i="114" a="1"/>
  <c r="F79" i="114" s="1"/>
  <c r="E79" i="114" a="1"/>
  <c r="E79" i="114" s="1"/>
  <c r="D79" i="114" a="1"/>
  <c r="D79" i="114" s="1"/>
  <c r="F78" i="114" a="1"/>
  <c r="F78" i="114" s="1"/>
  <c r="E78" i="114" a="1"/>
  <c r="E78" i="114" s="1"/>
  <c r="D78" i="114" a="1"/>
  <c r="D78" i="114" s="1"/>
  <c r="F77" i="114" a="1"/>
  <c r="F77" i="114" s="1"/>
  <c r="E77" i="114" a="1"/>
  <c r="E77" i="114" s="1"/>
  <c r="D77" i="114" a="1"/>
  <c r="D77" i="114" s="1"/>
  <c r="F76" i="114" a="1"/>
  <c r="F76" i="114" s="1"/>
  <c r="E76" i="114" a="1"/>
  <c r="E76" i="114" s="1"/>
  <c r="D76" i="114" a="1"/>
  <c r="D76" i="114" s="1"/>
  <c r="F75" i="114" a="1"/>
  <c r="F75" i="114" s="1"/>
  <c r="E75" i="114" a="1"/>
  <c r="E75" i="114" s="1"/>
  <c r="D75" i="114" a="1"/>
  <c r="D75" i="114" s="1"/>
  <c r="F74" i="114" a="1"/>
  <c r="F74" i="114" s="1"/>
  <c r="E74" i="114" a="1"/>
  <c r="E74" i="114" s="1"/>
  <c r="D74" i="114" a="1"/>
  <c r="D74" i="114" s="1"/>
  <c r="D71" i="114" a="1"/>
  <c r="D71" i="114" s="1"/>
  <c r="D70" i="114" a="1"/>
  <c r="D70" i="114" s="1"/>
  <c r="F67" i="114" a="1"/>
  <c r="F67" i="114" s="1"/>
  <c r="E67" i="114" a="1"/>
  <c r="E67" i="114" s="1"/>
  <c r="D67" i="114" a="1"/>
  <c r="D67" i="114" s="1"/>
  <c r="F66" i="114" a="1"/>
  <c r="F66" i="114" s="1"/>
  <c r="E66" i="114" a="1"/>
  <c r="E66" i="114" s="1"/>
  <c r="D66" i="114" a="1"/>
  <c r="D66" i="114" s="1"/>
  <c r="F65" i="114" a="1"/>
  <c r="F65" i="114" s="1"/>
  <c r="E65" i="114" a="1"/>
  <c r="E65" i="114" s="1"/>
  <c r="D65" i="114" a="1"/>
  <c r="D65" i="114" s="1"/>
  <c r="F64" i="114" a="1"/>
  <c r="F64" i="114" s="1"/>
  <c r="E64" i="114" a="1"/>
  <c r="E64" i="114" s="1"/>
  <c r="D64" i="114" a="1"/>
  <c r="D64" i="114" s="1"/>
  <c r="F63" i="114" a="1"/>
  <c r="F63" i="114" s="1"/>
  <c r="E63" i="114" a="1"/>
  <c r="E63" i="114" s="1"/>
  <c r="D63" i="114" a="1"/>
  <c r="D63" i="114" s="1"/>
  <c r="D60" i="114" a="1"/>
  <c r="D60" i="114" s="1"/>
  <c r="D59" i="114" a="1"/>
  <c r="D59" i="114" s="1"/>
  <c r="I56" i="114" a="1"/>
  <c r="I56" i="114" s="1"/>
  <c r="H56" i="114" a="1"/>
  <c r="H56" i="114" s="1"/>
  <c r="G56" i="114" a="1"/>
  <c r="G56" i="114" s="1"/>
  <c r="F56" i="114" a="1"/>
  <c r="F56" i="114" s="1"/>
  <c r="E56" i="114" a="1"/>
  <c r="E56" i="114" s="1"/>
  <c r="D56" i="114" a="1"/>
  <c r="D56" i="114" s="1"/>
  <c r="I55" i="114" a="1"/>
  <c r="I55" i="114" s="1"/>
  <c r="H55" i="114" a="1"/>
  <c r="H55" i="114" s="1"/>
  <c r="G55" i="114" a="1"/>
  <c r="G55" i="114" s="1"/>
  <c r="F55" i="114" a="1"/>
  <c r="F55" i="114" s="1"/>
  <c r="E55" i="114" a="1"/>
  <c r="E55" i="114" s="1"/>
  <c r="D55" i="114" a="1"/>
  <c r="D55" i="114" s="1"/>
  <c r="I54" i="114" a="1"/>
  <c r="I54" i="114" s="1"/>
  <c r="H54" i="114" a="1"/>
  <c r="H54" i="114" s="1"/>
  <c r="G54" i="114" a="1"/>
  <c r="G54" i="114" s="1"/>
  <c r="F54" i="114" a="1"/>
  <c r="F54" i="114" s="1"/>
  <c r="E54" i="114" a="1"/>
  <c r="E54" i="114" s="1"/>
  <c r="D54" i="114" a="1"/>
  <c r="D54" i="114" s="1"/>
  <c r="I53" i="114" a="1"/>
  <c r="I53" i="114" s="1"/>
  <c r="H53" i="114" a="1"/>
  <c r="H53" i="114" s="1"/>
  <c r="G53" i="114" a="1"/>
  <c r="G53" i="114" s="1"/>
  <c r="F53" i="114" a="1"/>
  <c r="F53" i="114" s="1"/>
  <c r="E53" i="114" a="1"/>
  <c r="E53" i="114" s="1"/>
  <c r="D53" i="114" a="1"/>
  <c r="D53" i="114" s="1"/>
  <c r="I52" i="114" a="1"/>
  <c r="I52" i="114" s="1"/>
  <c r="H52" i="114" a="1"/>
  <c r="H52" i="114" s="1"/>
  <c r="G52" i="114" a="1"/>
  <c r="G52" i="114" s="1"/>
  <c r="F52" i="114" a="1"/>
  <c r="F52" i="114" s="1"/>
  <c r="E52" i="114" a="1"/>
  <c r="E52" i="114" s="1"/>
  <c r="D52" i="114" a="1"/>
  <c r="D52" i="114" s="1"/>
  <c r="D49" i="114" a="1"/>
  <c r="D49" i="114" s="1"/>
  <c r="D48" i="114" a="1"/>
  <c r="D48" i="114" s="1"/>
  <c r="E45" i="114" a="1"/>
  <c r="E45" i="114" s="1"/>
  <c r="D45" i="114" a="1"/>
  <c r="D45" i="114" s="1"/>
  <c r="E44" i="114" a="1"/>
  <c r="E44" i="114" s="1"/>
  <c r="D44" i="114" a="1"/>
  <c r="D44" i="114" s="1"/>
  <c r="D41" i="114" a="1"/>
  <c r="D41" i="114" s="1"/>
  <c r="D40" i="114" a="1"/>
  <c r="D40" i="114" s="1"/>
  <c r="L37" i="114" a="1"/>
  <c r="L37" i="114" s="1"/>
  <c r="K37" i="114" a="1"/>
  <c r="K37" i="114" s="1"/>
  <c r="J37" i="114" a="1"/>
  <c r="J37" i="114" s="1"/>
  <c r="I37" i="114" a="1"/>
  <c r="I37" i="114" s="1"/>
  <c r="H37" i="114" a="1"/>
  <c r="H37" i="114" s="1"/>
  <c r="G37" i="114" a="1"/>
  <c r="G37" i="114" s="1"/>
  <c r="F37" i="114" a="1"/>
  <c r="F37" i="114" s="1"/>
  <c r="E37" i="114" a="1"/>
  <c r="E37" i="114" s="1"/>
  <c r="D37" i="114" a="1"/>
  <c r="D37" i="114" s="1"/>
  <c r="L36" i="114" a="1"/>
  <c r="L36" i="114" s="1"/>
  <c r="K36" i="114" a="1"/>
  <c r="K36" i="114" s="1"/>
  <c r="J36" i="114" a="1"/>
  <c r="J36" i="114" s="1"/>
  <c r="I36" i="114" a="1"/>
  <c r="I36" i="114" s="1"/>
  <c r="H36" i="114" a="1"/>
  <c r="H36" i="114" s="1"/>
  <c r="G36" i="114" a="1"/>
  <c r="G36" i="114" s="1"/>
  <c r="F36" i="114" a="1"/>
  <c r="F36" i="114" s="1"/>
  <c r="E36" i="114" a="1"/>
  <c r="E36" i="114" s="1"/>
  <c r="D36" i="114" a="1"/>
  <c r="D36" i="114" s="1"/>
  <c r="L35" i="114" a="1"/>
  <c r="L35" i="114" s="1"/>
  <c r="K35" i="114" a="1"/>
  <c r="K35" i="114" s="1"/>
  <c r="J35" i="114" a="1"/>
  <c r="J35" i="114" s="1"/>
  <c r="I35" i="114" a="1"/>
  <c r="I35" i="114" s="1"/>
  <c r="H35" i="114" a="1"/>
  <c r="H35" i="114" s="1"/>
  <c r="G35" i="114" a="1"/>
  <c r="G35" i="114" s="1"/>
  <c r="F35" i="114" a="1"/>
  <c r="F35" i="114" s="1"/>
  <c r="E35" i="114" a="1"/>
  <c r="E35" i="114" s="1"/>
  <c r="D35" i="114" a="1"/>
  <c r="D35" i="114" s="1"/>
  <c r="L34" i="114" a="1"/>
  <c r="L34" i="114" s="1"/>
  <c r="K34" i="114" a="1"/>
  <c r="K34" i="114" s="1"/>
  <c r="J34" i="114" a="1"/>
  <c r="J34" i="114" s="1"/>
  <c r="I34" i="114" a="1"/>
  <c r="I34" i="114" s="1"/>
  <c r="H34" i="114" a="1"/>
  <c r="H34" i="114" s="1"/>
  <c r="G34" i="114" a="1"/>
  <c r="G34" i="114" s="1"/>
  <c r="F34" i="114" a="1"/>
  <c r="F34" i="114" s="1"/>
  <c r="E34" i="114" a="1"/>
  <c r="E34" i="114" s="1"/>
  <c r="D34" i="114" a="1"/>
  <c r="D34" i="114" s="1"/>
  <c r="L33" i="114" a="1"/>
  <c r="L33" i="114" s="1"/>
  <c r="K33" i="114" a="1"/>
  <c r="K33" i="114" s="1"/>
  <c r="J33" i="114" a="1"/>
  <c r="J33" i="114" s="1"/>
  <c r="I33" i="114" a="1"/>
  <c r="I33" i="114" s="1"/>
  <c r="H33" i="114" a="1"/>
  <c r="H33" i="114" s="1"/>
  <c r="G33" i="114" a="1"/>
  <c r="G33" i="114" s="1"/>
  <c r="F33" i="114" a="1"/>
  <c r="F33" i="114" s="1"/>
  <c r="E33" i="114" a="1"/>
  <c r="E33" i="114" s="1"/>
  <c r="D33" i="114" a="1"/>
  <c r="D33" i="114" s="1"/>
  <c r="L32" i="114" a="1"/>
  <c r="L32" i="114" s="1"/>
  <c r="K32" i="114" a="1"/>
  <c r="K32" i="114" s="1"/>
  <c r="J32" i="114" a="1"/>
  <c r="J32" i="114" s="1"/>
  <c r="I32" i="114" a="1"/>
  <c r="I32" i="114" s="1"/>
  <c r="H32" i="114" a="1"/>
  <c r="H32" i="114" s="1"/>
  <c r="G32" i="114" a="1"/>
  <c r="G32" i="114" s="1"/>
  <c r="F32" i="114" a="1"/>
  <c r="F32" i="114" s="1"/>
  <c r="E32" i="114" a="1"/>
  <c r="E32" i="114" s="1"/>
  <c r="D32" i="114" a="1"/>
  <c r="D32" i="114" s="1"/>
  <c r="L31" i="114" a="1"/>
  <c r="L31" i="114" s="1"/>
  <c r="K31" i="114" a="1"/>
  <c r="K31" i="114" s="1"/>
  <c r="J31" i="114" a="1"/>
  <c r="J31" i="114" s="1"/>
  <c r="I31" i="114" a="1"/>
  <c r="I31" i="114" s="1"/>
  <c r="H31" i="114" a="1"/>
  <c r="H31" i="114" s="1"/>
  <c r="G31" i="114" a="1"/>
  <c r="G31" i="114" s="1"/>
  <c r="F31" i="114" a="1"/>
  <c r="F31" i="114" s="1"/>
  <c r="E31" i="114" a="1"/>
  <c r="E31" i="114" s="1"/>
  <c r="D31" i="114" a="1"/>
  <c r="D31" i="114" s="1"/>
  <c r="L30" i="114" a="1"/>
  <c r="L30" i="114" s="1"/>
  <c r="K30" i="114" a="1"/>
  <c r="K30" i="114" s="1"/>
  <c r="J30" i="114" a="1"/>
  <c r="J30" i="114" s="1"/>
  <c r="I30" i="114" a="1"/>
  <c r="I30" i="114" s="1"/>
  <c r="H30" i="114" a="1"/>
  <c r="H30" i="114" s="1"/>
  <c r="G30" i="114" a="1"/>
  <c r="G30" i="114" s="1"/>
  <c r="F30" i="114" a="1"/>
  <c r="F30" i="114" s="1"/>
  <c r="E30" i="114" a="1"/>
  <c r="E30" i="114" s="1"/>
  <c r="D30" i="114" a="1"/>
  <c r="D30" i="114" s="1"/>
  <c r="L29" i="114" a="1"/>
  <c r="L29" i="114" s="1"/>
  <c r="K29" i="114" a="1"/>
  <c r="K29" i="114" s="1"/>
  <c r="J29" i="114" a="1"/>
  <c r="J29" i="114" s="1"/>
  <c r="I29" i="114" a="1"/>
  <c r="I29" i="114" s="1"/>
  <c r="H29" i="114" a="1"/>
  <c r="H29" i="114" s="1"/>
  <c r="G29" i="114" a="1"/>
  <c r="G29" i="114" s="1"/>
  <c r="F29" i="114" a="1"/>
  <c r="F29" i="114" s="1"/>
  <c r="E29" i="114" a="1"/>
  <c r="E29" i="114" s="1"/>
  <c r="D29" i="114" a="1"/>
  <c r="D29" i="114" s="1"/>
  <c r="L28" i="114" a="1"/>
  <c r="L28" i="114" s="1"/>
  <c r="K28" i="114" a="1"/>
  <c r="K28" i="114" s="1"/>
  <c r="J28" i="114" a="1"/>
  <c r="J28" i="114" s="1"/>
  <c r="I28" i="114" a="1"/>
  <c r="I28" i="114" s="1"/>
  <c r="H28" i="114" a="1"/>
  <c r="H28" i="114" s="1"/>
  <c r="G28" i="114" a="1"/>
  <c r="G28" i="114" s="1"/>
  <c r="F28" i="114" a="1"/>
  <c r="F28" i="114" s="1"/>
  <c r="E28" i="114" a="1"/>
  <c r="E28" i="114" s="1"/>
  <c r="D28" i="114" a="1"/>
  <c r="D28" i="114" s="1"/>
  <c r="L27" i="114" a="1"/>
  <c r="L27" i="114" s="1"/>
  <c r="K27" i="114" a="1"/>
  <c r="K27" i="114" s="1"/>
  <c r="J27" i="114" a="1"/>
  <c r="J27" i="114" s="1"/>
  <c r="I27" i="114" a="1"/>
  <c r="I27" i="114" s="1"/>
  <c r="H27" i="114" a="1"/>
  <c r="H27" i="114" s="1"/>
  <c r="G27" i="114" a="1"/>
  <c r="G27" i="114" s="1"/>
  <c r="F27" i="114" a="1"/>
  <c r="F27" i="114" s="1"/>
  <c r="E27" i="114" a="1"/>
  <c r="E27" i="114" s="1"/>
  <c r="D27" i="114" a="1"/>
  <c r="D27" i="114" s="1"/>
  <c r="L26" i="114" a="1"/>
  <c r="L26" i="114" s="1"/>
  <c r="K26" i="114" a="1"/>
  <c r="K26" i="114" s="1"/>
  <c r="J26" i="114" a="1"/>
  <c r="J26" i="114" s="1"/>
  <c r="I26" i="114" a="1"/>
  <c r="I26" i="114" s="1"/>
  <c r="H26" i="114" a="1"/>
  <c r="H26" i="114" s="1"/>
  <c r="G26" i="114" a="1"/>
  <c r="G26" i="114" s="1"/>
  <c r="F26" i="114" a="1"/>
  <c r="F26" i="114" s="1"/>
  <c r="E26" i="114" a="1"/>
  <c r="E26" i="114" s="1"/>
  <c r="D26" i="114" a="1"/>
  <c r="D26" i="114" s="1"/>
  <c r="L25" i="114" a="1"/>
  <c r="L25" i="114" s="1"/>
  <c r="K25" i="114" a="1"/>
  <c r="K25" i="114" s="1"/>
  <c r="J25" i="114" a="1"/>
  <c r="J25" i="114" s="1"/>
  <c r="I25" i="114" a="1"/>
  <c r="I25" i="114" s="1"/>
  <c r="H25" i="114" a="1"/>
  <c r="H25" i="114" s="1"/>
  <c r="G25" i="114" a="1"/>
  <c r="G25" i="114" s="1"/>
  <c r="F25" i="114" a="1"/>
  <c r="F25" i="114" s="1"/>
  <c r="E25" i="114" a="1"/>
  <c r="E25" i="114" s="1"/>
  <c r="D25" i="114" a="1"/>
  <c r="D25" i="114" s="1"/>
  <c r="L24" i="114" a="1"/>
  <c r="L24" i="114" s="1"/>
  <c r="K24" i="114" a="1"/>
  <c r="K24" i="114" s="1"/>
  <c r="J24" i="114" a="1"/>
  <c r="J24" i="114" s="1"/>
  <c r="I24" i="114" a="1"/>
  <c r="I24" i="114" s="1"/>
  <c r="H24" i="114" a="1"/>
  <c r="H24" i="114" s="1"/>
  <c r="G24" i="114" a="1"/>
  <c r="G24" i="114" s="1"/>
  <c r="F24" i="114" a="1"/>
  <c r="F24" i="114" s="1"/>
  <c r="E24" i="114" a="1"/>
  <c r="E24" i="114" s="1"/>
  <c r="D24" i="114" a="1"/>
  <c r="D24" i="114" s="1"/>
  <c r="L23" i="114" a="1"/>
  <c r="L23" i="114" s="1"/>
  <c r="K23" i="114" a="1"/>
  <c r="K23" i="114" s="1"/>
  <c r="J23" i="114" a="1"/>
  <c r="J23" i="114" s="1"/>
  <c r="I23" i="114" a="1"/>
  <c r="I23" i="114" s="1"/>
  <c r="H23" i="114" a="1"/>
  <c r="H23" i="114" s="1"/>
  <c r="G23" i="114" a="1"/>
  <c r="G23" i="114" s="1"/>
  <c r="F23" i="114" a="1"/>
  <c r="F23" i="114" s="1"/>
  <c r="E23" i="114" a="1"/>
  <c r="E23" i="114" s="1"/>
  <c r="D23" i="114" a="1"/>
  <c r="D23" i="114" s="1"/>
  <c r="L22" i="114" a="1"/>
  <c r="L22" i="114" s="1"/>
  <c r="K22" i="114" a="1"/>
  <c r="K22" i="114" s="1"/>
  <c r="J22" i="114" a="1"/>
  <c r="J22" i="114" s="1"/>
  <c r="I22" i="114" a="1"/>
  <c r="I22" i="114" s="1"/>
  <c r="H22" i="114" a="1"/>
  <c r="H22" i="114" s="1"/>
  <c r="G22" i="114" a="1"/>
  <c r="G22" i="114" s="1"/>
  <c r="F22" i="114" a="1"/>
  <c r="F22" i="114" s="1"/>
  <c r="E22" i="114" a="1"/>
  <c r="E22" i="114" s="1"/>
  <c r="D22" i="114" a="1"/>
  <c r="D22" i="114" s="1"/>
  <c r="L21" i="114" a="1"/>
  <c r="L21" i="114" s="1"/>
  <c r="K21" i="114" a="1"/>
  <c r="K21" i="114" s="1"/>
  <c r="J21" i="114" a="1"/>
  <c r="J21" i="114" s="1"/>
  <c r="I21" i="114" a="1"/>
  <c r="I21" i="114" s="1"/>
  <c r="H21" i="114" a="1"/>
  <c r="H21" i="114" s="1"/>
  <c r="G21" i="114" a="1"/>
  <c r="G21" i="114" s="1"/>
  <c r="F21" i="114" a="1"/>
  <c r="F21" i="114" s="1"/>
  <c r="E21" i="114" a="1"/>
  <c r="E21" i="114" s="1"/>
  <c r="D21" i="114" a="1"/>
  <c r="D21" i="114" s="1"/>
  <c r="L20" i="114" a="1"/>
  <c r="L20" i="114" s="1"/>
  <c r="K20" i="114" a="1"/>
  <c r="K20" i="114" s="1"/>
  <c r="J20" i="114" a="1"/>
  <c r="J20" i="114" s="1"/>
  <c r="I20" i="114" a="1"/>
  <c r="I20" i="114" s="1"/>
  <c r="H20" i="114" a="1"/>
  <c r="H20" i="114" s="1"/>
  <c r="G20" i="114" a="1"/>
  <c r="G20" i="114" s="1"/>
  <c r="F20" i="114" a="1"/>
  <c r="F20" i="114" s="1"/>
  <c r="E20" i="114" a="1"/>
  <c r="E20" i="114" s="1"/>
  <c r="D20" i="114" a="1"/>
  <c r="D20" i="114" s="1"/>
  <c r="D17" i="114" a="1"/>
  <c r="D17" i="114" s="1"/>
  <c r="D16" i="114" a="1"/>
  <c r="D16" i="114" s="1"/>
  <c r="D15" i="114" a="1"/>
  <c r="D15" i="114" s="1"/>
  <c r="K10" i="114" a="1"/>
  <c r="K10" i="114" s="1"/>
  <c r="J10" i="114" a="1"/>
  <c r="J10" i="114" s="1"/>
  <c r="I10" i="114" a="1"/>
  <c r="I10" i="114" s="1"/>
  <c r="H10" i="114" a="1"/>
  <c r="H10" i="114" s="1"/>
  <c r="G10" i="114" a="1"/>
  <c r="G10" i="114" s="1"/>
  <c r="F10" i="114" a="1"/>
  <c r="F10" i="114" s="1"/>
  <c r="E10" i="114" a="1"/>
  <c r="E10" i="114" s="1"/>
  <c r="D10" i="114" a="1"/>
  <c r="D10" i="114" s="1"/>
  <c r="K9" i="114" a="1"/>
  <c r="K9" i="114" s="1"/>
  <c r="J9" i="114" a="1"/>
  <c r="J9" i="114" s="1"/>
  <c r="I9" i="114" a="1"/>
  <c r="I9" i="114" s="1"/>
  <c r="H9" i="114" a="1"/>
  <c r="H9" i="114" s="1"/>
  <c r="G9" i="114" a="1"/>
  <c r="G9" i="114" s="1"/>
  <c r="F9" i="114" a="1"/>
  <c r="F9" i="114" s="1"/>
  <c r="E9" i="114" a="1"/>
  <c r="E9" i="114" s="1"/>
  <c r="D9" i="114" a="1"/>
  <c r="D9" i="114" s="1"/>
  <c r="K8" i="114" a="1"/>
  <c r="K8" i="114" s="1"/>
  <c r="J8" i="114" a="1"/>
  <c r="J8" i="114" s="1"/>
  <c r="I8" i="114" a="1"/>
  <c r="I8" i="114" s="1"/>
  <c r="H8" i="114" a="1"/>
  <c r="H8" i="114" s="1"/>
  <c r="G8" i="114" a="1"/>
  <c r="G8" i="114" s="1"/>
  <c r="F8" i="114" a="1"/>
  <c r="F8" i="114" s="1"/>
  <c r="E8" i="114" a="1"/>
  <c r="E8" i="114" s="1"/>
  <c r="D8" i="114" a="1"/>
  <c r="D8" i="114" s="1"/>
  <c r="D5" i="114" a="1"/>
  <c r="D5" i="114" s="1"/>
  <c r="P53" i="113" a="1"/>
  <c r="P53" i="113" s="1"/>
  <c r="F53" i="113" a="1"/>
  <c r="F53" i="113" s="1"/>
  <c r="N50" i="113" a="1"/>
  <c r="N50" i="113" s="1"/>
  <c r="D50" i="113" a="1"/>
  <c r="D50" i="113" s="1"/>
  <c r="N45" i="113"/>
  <c r="D45" i="113"/>
  <c r="J40" i="113"/>
  <c r="J36" i="113" a="1"/>
  <c r="J36" i="113" s="1"/>
  <c r="H36" i="113" a="1"/>
  <c r="H36" i="113" s="1"/>
  <c r="D36" i="113" a="1"/>
  <c r="D36" i="113" s="1"/>
  <c r="E34" i="113" a="1"/>
  <c r="E34" i="113" s="1"/>
  <c r="E33" i="113" a="1"/>
  <c r="E33" i="113" s="1"/>
  <c r="D29" i="113" a="1"/>
  <c r="D29" i="113" s="1"/>
  <c r="D28" i="113" a="1"/>
  <c r="D28" i="113" s="1"/>
  <c r="G25" i="113"/>
  <c r="F25" i="113"/>
  <c r="H25" i="113" s="1"/>
  <c r="J19" i="113" a="1"/>
  <c r="J19" i="113" s="1"/>
  <c r="J18" i="113"/>
  <c r="J16" i="113" a="1"/>
  <c r="J16" i="113" s="1"/>
  <c r="J14" i="113" a="1"/>
  <c r="J14" i="113" s="1"/>
  <c r="J13" i="113" a="1"/>
  <c r="J13" i="113" s="1"/>
  <c r="H13" i="113" a="1"/>
  <c r="H13" i="113" s="1"/>
  <c r="D13" i="113" a="1"/>
  <c r="D13" i="113" s="1"/>
  <c r="E11" i="113" a="1"/>
  <c r="E11" i="113" s="1"/>
  <c r="E10" i="113" a="1"/>
  <c r="E10" i="113" s="1"/>
  <c r="D6" i="113" a="1"/>
  <c r="D6" i="113" s="1"/>
  <c r="D5" i="113" a="1"/>
  <c r="D5" i="113" s="1"/>
  <c r="P45" i="112" a="1"/>
  <c r="P45" i="112" s="1"/>
  <c r="F45" i="112" a="1"/>
  <c r="F45" i="112" s="1"/>
  <c r="N42" i="112" a="1"/>
  <c r="N42" i="112" s="1"/>
  <c r="D42" i="112" a="1"/>
  <c r="D42" i="112" s="1"/>
  <c r="P40" i="112" a="1"/>
  <c r="P40" i="112" s="1"/>
  <c r="F40" i="112" a="1"/>
  <c r="F40" i="112" s="1"/>
  <c r="J37" i="112"/>
  <c r="J34" i="112" s="1" a="1"/>
  <c r="J34" i="112" s="1"/>
  <c r="J36" i="112"/>
  <c r="R33" i="112" a="1"/>
  <c r="R33" i="112" s="1"/>
  <c r="N33" i="112" a="1"/>
  <c r="N33" i="112" s="1"/>
  <c r="H33" i="112" a="1"/>
  <c r="H33" i="112" s="1"/>
  <c r="D33" i="112" a="1"/>
  <c r="D33" i="112" s="1"/>
  <c r="O31" i="112" a="1"/>
  <c r="O31" i="112" s="1"/>
  <c r="E31" i="112" a="1"/>
  <c r="E31" i="112" s="1"/>
  <c r="O30" i="112" a="1"/>
  <c r="O30" i="112" s="1"/>
  <c r="E30" i="112" a="1"/>
  <c r="E30" i="112" s="1"/>
  <c r="N26" i="112" a="1"/>
  <c r="N26" i="112" s="1"/>
  <c r="D26" i="112" a="1"/>
  <c r="D26" i="112" s="1"/>
  <c r="N25" i="112" a="1"/>
  <c r="N25" i="112" s="1"/>
  <c r="D25" i="112" a="1"/>
  <c r="D25" i="112" s="1"/>
  <c r="P21" i="112" a="1"/>
  <c r="P21" i="112" s="1"/>
  <c r="F21" i="112" a="1"/>
  <c r="F21" i="112" s="1"/>
  <c r="J19" i="112"/>
  <c r="T14" i="112"/>
  <c r="R13" i="112" a="1"/>
  <c r="R13" i="112" s="1"/>
  <c r="N13" i="112" a="1"/>
  <c r="N13" i="112" s="1"/>
  <c r="J13" i="112"/>
  <c r="H13" i="112" a="1"/>
  <c r="H13" i="112" s="1"/>
  <c r="D13" i="112" a="1"/>
  <c r="D13" i="112" s="1"/>
  <c r="E11" i="112" a="1"/>
  <c r="E11" i="112" s="1"/>
  <c r="E10" i="112" a="1"/>
  <c r="E10" i="112" s="1"/>
  <c r="D6" i="112" a="1"/>
  <c r="D6" i="112" s="1"/>
  <c r="D5" i="112" a="1"/>
  <c r="D5" i="112" s="1"/>
  <c r="E20" i="11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E63" i="110" a="1"/>
  <c r="E63" i="110" s="1"/>
  <c r="D63" i="110" a="1"/>
  <c r="D63" i="110" s="1"/>
  <c r="E62" i="110" a="1"/>
  <c r="E62" i="110" s="1"/>
  <c r="D62" i="110" a="1"/>
  <c r="D62" i="110" s="1"/>
  <c r="E61" i="110" a="1"/>
  <c r="E61" i="110" s="1"/>
  <c r="D61" i="110" a="1"/>
  <c r="D61" i="110" s="1"/>
  <c r="E60" i="110" a="1"/>
  <c r="E60" i="110" s="1"/>
  <c r="D60" i="110" a="1"/>
  <c r="D60" i="110" s="1"/>
  <c r="E59" i="110" a="1"/>
  <c r="E59" i="110" s="1"/>
  <c r="D59" i="110" a="1"/>
  <c r="D59" i="110" s="1"/>
  <c r="E58" i="110" a="1"/>
  <c r="E58" i="110" s="1"/>
  <c r="D58" i="110" a="1"/>
  <c r="D58" i="110" s="1"/>
  <c r="D56" i="110" a="1"/>
  <c r="D56" i="110" s="1"/>
  <c r="D55" i="110" a="1"/>
  <c r="D55" i="110" s="1"/>
  <c r="D54" i="110" a="1"/>
  <c r="D54" i="110" s="1"/>
  <c r="D53" i="110" a="1"/>
  <c r="D53" i="110" s="1"/>
  <c r="D52" i="110" a="1"/>
  <c r="D52" i="110" s="1"/>
  <c r="G50" i="110" a="1"/>
  <c r="G50" i="110" s="1"/>
  <c r="F50" i="110" a="1"/>
  <c r="F50" i="110" s="1"/>
  <c r="E50" i="110" a="1"/>
  <c r="E50" i="110" s="1"/>
  <c r="O21" i="110" s="1"/>
  <c r="D50" i="110" a="1"/>
  <c r="D50" i="110" s="1"/>
  <c r="G49" i="110" a="1"/>
  <c r="G49" i="110" s="1"/>
  <c r="F49" i="110" a="1"/>
  <c r="F49" i="110" s="1"/>
  <c r="E49" i="110" a="1"/>
  <c r="E49" i="110" s="1"/>
  <c r="O20" i="110" s="1"/>
  <c r="D49" i="110" a="1"/>
  <c r="D49" i="110" s="1"/>
  <c r="G48" i="110" a="1"/>
  <c r="G48" i="110" s="1"/>
  <c r="F48" i="110" a="1"/>
  <c r="F48" i="110" s="1"/>
  <c r="E48" i="110" a="1"/>
  <c r="E48" i="110" s="1"/>
  <c r="O19" i="110" s="1"/>
  <c r="D48" i="110" a="1"/>
  <c r="D48" i="110" s="1"/>
  <c r="G47" i="110" a="1"/>
  <c r="G47" i="110" s="1"/>
  <c r="F47" i="110" a="1"/>
  <c r="F47" i="110" s="1"/>
  <c r="E47" i="110" a="1"/>
  <c r="E47" i="110" s="1"/>
  <c r="O18" i="110" s="1"/>
  <c r="D47" i="110" a="1"/>
  <c r="D47" i="110" s="1"/>
  <c r="G46" i="110" a="1"/>
  <c r="G46" i="110" s="1"/>
  <c r="F46" i="110" a="1"/>
  <c r="F46" i="110" s="1"/>
  <c r="E46" i="110" a="1"/>
  <c r="E46" i="110" s="1"/>
  <c r="O17" i="110" s="1"/>
  <c r="D46" i="110" a="1"/>
  <c r="D46" i="110" s="1"/>
  <c r="G45" i="110" a="1"/>
  <c r="G45" i="110" s="1"/>
  <c r="F45" i="110" a="1"/>
  <c r="F45" i="110" s="1"/>
  <c r="E45" i="110" a="1"/>
  <c r="E45" i="110" s="1"/>
  <c r="D45" i="110" a="1"/>
  <c r="D45" i="110" s="1"/>
  <c r="G44" i="110" a="1"/>
  <c r="G44" i="110" s="1"/>
  <c r="F44" i="110" a="1"/>
  <c r="F44" i="110" s="1"/>
  <c r="E44" i="110" a="1"/>
  <c r="E44" i="110" s="1"/>
  <c r="M21" i="110" s="1"/>
  <c r="D44" i="110" a="1"/>
  <c r="D44" i="110" s="1"/>
  <c r="G43" i="110" a="1"/>
  <c r="G43" i="110" s="1"/>
  <c r="F43" i="110" a="1"/>
  <c r="F43" i="110" s="1"/>
  <c r="E43" i="110" a="1"/>
  <c r="E43" i="110" s="1"/>
  <c r="M20" i="110" s="1"/>
  <c r="D43" i="110" a="1"/>
  <c r="D43" i="110" s="1"/>
  <c r="G42" i="110" a="1"/>
  <c r="G42" i="110" s="1"/>
  <c r="F42" i="110" a="1"/>
  <c r="F42" i="110" s="1"/>
  <c r="E42" i="110" a="1"/>
  <c r="E42" i="110" s="1"/>
  <c r="M19" i="110" s="1"/>
  <c r="D42" i="110" a="1"/>
  <c r="D42" i="110" s="1"/>
  <c r="G41" i="110" a="1"/>
  <c r="G41" i="110" s="1"/>
  <c r="F41" i="110" a="1"/>
  <c r="F41" i="110" s="1"/>
  <c r="E41" i="110" a="1"/>
  <c r="E41" i="110" s="1"/>
  <c r="M18" i="110" s="1"/>
  <c r="D41" i="110" a="1"/>
  <c r="D41" i="110" s="1"/>
  <c r="G40" i="110" a="1"/>
  <c r="G40" i="110" s="1"/>
  <c r="F40" i="110" a="1"/>
  <c r="F40" i="110" s="1"/>
  <c r="E40" i="110" a="1"/>
  <c r="E40" i="110" s="1"/>
  <c r="M17" i="110" s="1"/>
  <c r="D40" i="110" a="1"/>
  <c r="D40" i="110" s="1"/>
  <c r="G39" i="110" a="1"/>
  <c r="G39" i="110" s="1"/>
  <c r="F39" i="110" a="1"/>
  <c r="F39" i="110" s="1"/>
  <c r="E39" i="110" a="1"/>
  <c r="E39" i="110" s="1"/>
  <c r="D39" i="110" a="1"/>
  <c r="D39" i="110" s="1"/>
  <c r="G38" i="110" a="1"/>
  <c r="G38" i="110" s="1"/>
  <c r="F38" i="110" a="1"/>
  <c r="F38" i="110" s="1"/>
  <c r="E38" i="110" a="1"/>
  <c r="E38" i="110" s="1"/>
  <c r="K26" i="110" s="1"/>
  <c r="D38" i="110" a="1"/>
  <c r="D38" i="110" s="1"/>
  <c r="G37" i="110" a="1"/>
  <c r="G37" i="110" s="1"/>
  <c r="F37" i="110" a="1"/>
  <c r="F37" i="110" s="1"/>
  <c r="E37" i="110" a="1"/>
  <c r="E37" i="110" s="1"/>
  <c r="K25" i="110" s="1"/>
  <c r="D37" i="110" a="1"/>
  <c r="D37" i="110" s="1"/>
  <c r="G36" i="110" a="1"/>
  <c r="G36" i="110" s="1"/>
  <c r="F36" i="110" a="1"/>
  <c r="F36" i="110" s="1"/>
  <c r="E36" i="110" a="1"/>
  <c r="E36" i="110" s="1"/>
  <c r="K24" i="110" s="1"/>
  <c r="D36" i="110" a="1"/>
  <c r="D36" i="110" s="1"/>
  <c r="G35" i="110" a="1"/>
  <c r="G35" i="110" s="1"/>
  <c r="F35" i="110" a="1"/>
  <c r="F35" i="110" s="1"/>
  <c r="E35" i="110" a="1"/>
  <c r="E35" i="110" s="1"/>
  <c r="K23" i="110" s="1"/>
  <c r="D35" i="110" a="1"/>
  <c r="D35" i="110" s="1"/>
  <c r="G34" i="110" a="1"/>
  <c r="G34" i="110" s="1"/>
  <c r="F34" i="110" a="1"/>
  <c r="F34" i="110" s="1"/>
  <c r="E34" i="110" a="1"/>
  <c r="E34" i="110" s="1"/>
  <c r="K22" i="110" s="1"/>
  <c r="D34" i="110" a="1"/>
  <c r="D34" i="110" s="1"/>
  <c r="G33" i="110" a="1"/>
  <c r="G33" i="110" s="1"/>
  <c r="F33" i="110" a="1"/>
  <c r="F33" i="110" s="1"/>
  <c r="E33" i="110" a="1"/>
  <c r="E33" i="110" s="1"/>
  <c r="K21" i="110" s="1"/>
  <c r="D33" i="110" a="1"/>
  <c r="D33" i="110" s="1"/>
  <c r="G32" i="110" a="1"/>
  <c r="G32" i="110" s="1"/>
  <c r="F32" i="110" a="1"/>
  <c r="F32" i="110" s="1"/>
  <c r="E32" i="110" a="1"/>
  <c r="E32" i="110" s="1"/>
  <c r="K20" i="110" s="1"/>
  <c r="D32" i="110" a="1"/>
  <c r="D32" i="110" s="1"/>
  <c r="G31" i="110" a="1"/>
  <c r="G31" i="110" s="1"/>
  <c r="F31" i="110" a="1"/>
  <c r="F31" i="110" s="1"/>
  <c r="E31" i="110" a="1"/>
  <c r="E31" i="110" s="1"/>
  <c r="K19" i="110" s="1"/>
  <c r="D31" i="110" a="1"/>
  <c r="D31" i="110" s="1"/>
  <c r="G30" i="110" a="1"/>
  <c r="G30" i="110" s="1"/>
  <c r="F30" i="110" a="1"/>
  <c r="F30" i="110" s="1"/>
  <c r="E30" i="110" a="1"/>
  <c r="E30" i="110" s="1"/>
  <c r="K18" i="110" s="1"/>
  <c r="D30" i="110" a="1"/>
  <c r="D30" i="110" s="1"/>
  <c r="G29" i="110" a="1"/>
  <c r="G29" i="110" s="1"/>
  <c r="F29" i="110" a="1"/>
  <c r="F29" i="110" s="1"/>
  <c r="E29" i="110" a="1"/>
  <c r="E29" i="110" s="1"/>
  <c r="K17" i="110" s="1"/>
  <c r="D29" i="110" a="1"/>
  <c r="D29" i="110" s="1"/>
  <c r="G28" i="110" a="1"/>
  <c r="G28" i="110" s="1"/>
  <c r="F28" i="110" a="1"/>
  <c r="F28" i="110" s="1"/>
  <c r="E28" i="110" a="1"/>
  <c r="E28" i="110" s="1"/>
  <c r="D28" i="110" a="1"/>
  <c r="D28" i="110" s="1"/>
  <c r="G27" i="110" a="1"/>
  <c r="G27" i="110" s="1"/>
  <c r="F27" i="110" a="1"/>
  <c r="F27" i="110" s="1"/>
  <c r="E27" i="110" a="1"/>
  <c r="E27" i="110" s="1"/>
  <c r="I27" i="110" s="1"/>
  <c r="D27" i="110" a="1"/>
  <c r="D27" i="110" s="1"/>
  <c r="G26" i="110" a="1"/>
  <c r="G26" i="110" s="1"/>
  <c r="F26" i="110" a="1"/>
  <c r="F26" i="110" s="1"/>
  <c r="E26" i="110" a="1"/>
  <c r="E26" i="110" s="1"/>
  <c r="I26" i="110" s="1"/>
  <c r="D26" i="110" a="1"/>
  <c r="D26" i="110" s="1"/>
  <c r="G25" i="110" a="1"/>
  <c r="G25" i="110" s="1"/>
  <c r="F25" i="110" a="1"/>
  <c r="F25" i="110" s="1"/>
  <c r="E25" i="110" a="1"/>
  <c r="E25" i="110" s="1"/>
  <c r="I25" i="110" s="1"/>
  <c r="D25" i="110" a="1"/>
  <c r="D25" i="110" s="1"/>
  <c r="G24" i="110" a="1"/>
  <c r="G24" i="110" s="1"/>
  <c r="F24" i="110" a="1"/>
  <c r="F24" i="110" s="1"/>
  <c r="E24" i="110" a="1"/>
  <c r="E24" i="110" s="1"/>
  <c r="I24" i="110" s="1"/>
  <c r="D24" i="110" a="1"/>
  <c r="D24" i="110" s="1"/>
  <c r="G23" i="110" a="1"/>
  <c r="G23" i="110" s="1"/>
  <c r="F23" i="110" a="1"/>
  <c r="F23" i="110" s="1"/>
  <c r="E23" i="110" a="1"/>
  <c r="E23" i="110" s="1"/>
  <c r="I23" i="110" s="1"/>
  <c r="D23" i="110" a="1"/>
  <c r="D23" i="110" s="1"/>
  <c r="G22" i="110" a="1"/>
  <c r="G22" i="110" s="1"/>
  <c r="F22" i="110" a="1"/>
  <c r="F22" i="110" s="1"/>
  <c r="E22" i="110" a="1"/>
  <c r="E22" i="110" s="1"/>
  <c r="I22" i="110" s="1"/>
  <c r="D22" i="110" a="1"/>
  <c r="D22" i="110" s="1"/>
  <c r="G21" i="110" a="1"/>
  <c r="G21" i="110" s="1"/>
  <c r="F21" i="110" a="1"/>
  <c r="F21" i="110" s="1"/>
  <c r="E21" i="110" a="1"/>
  <c r="E21" i="110" s="1"/>
  <c r="I21" i="110" s="1"/>
  <c r="D21" i="110" a="1"/>
  <c r="D21" i="110" s="1"/>
  <c r="G20" i="110" a="1"/>
  <c r="G20" i="110" s="1"/>
  <c r="F20" i="110" a="1"/>
  <c r="F20" i="110" s="1"/>
  <c r="E20" i="110" a="1"/>
  <c r="E20" i="110" s="1"/>
  <c r="I20" i="110" s="1"/>
  <c r="D20" i="110" a="1"/>
  <c r="D20" i="110" s="1"/>
  <c r="G19" i="110" a="1"/>
  <c r="G19" i="110" s="1"/>
  <c r="F19" i="110" a="1"/>
  <c r="F19" i="110" s="1"/>
  <c r="E19" i="110" a="1"/>
  <c r="E19" i="110" s="1"/>
  <c r="I19" i="110" s="1"/>
  <c r="D19" i="110" a="1"/>
  <c r="D19" i="110" s="1"/>
  <c r="G18" i="110" a="1"/>
  <c r="G18" i="110" s="1"/>
  <c r="F18" i="110" a="1"/>
  <c r="F18" i="110" s="1"/>
  <c r="E18" i="110" a="1"/>
  <c r="E18" i="110" s="1"/>
  <c r="I18" i="110" s="1"/>
  <c r="D18" i="110" a="1"/>
  <c r="D18" i="110" s="1"/>
  <c r="G17" i="110" a="1"/>
  <c r="G17" i="110" s="1"/>
  <c r="F17" i="110" a="1"/>
  <c r="F17" i="110" s="1"/>
  <c r="E17" i="110" a="1"/>
  <c r="E17" i="110" s="1"/>
  <c r="I17" i="110" s="1"/>
  <c r="D17" i="110" a="1"/>
  <c r="D17" i="110" s="1"/>
  <c r="D15" i="110" a="1"/>
  <c r="D15" i="110" s="1"/>
  <c r="D14" i="110" a="1"/>
  <c r="D14" i="110" s="1"/>
  <c r="D7" i="110" a="1"/>
  <c r="D7" i="110" s="1"/>
  <c r="D6" i="110" a="1"/>
  <c r="D6" i="110" s="1"/>
  <c r="D5" i="110" a="1"/>
  <c r="D5" i="110" s="1"/>
  <c r="H185" i="109"/>
  <c r="H179" i="109"/>
  <c r="H168" i="109"/>
  <c r="H144" i="109"/>
  <c r="H138" i="109"/>
  <c r="H127" i="109"/>
  <c r="H105" i="109" a="1"/>
  <c r="H105" i="109" s="1"/>
  <c r="D105" i="109" a="1"/>
  <c r="D105" i="109" s="1"/>
  <c r="E103" i="109" a="1"/>
  <c r="E103" i="109" s="1"/>
  <c r="E102" i="109" a="1"/>
  <c r="E102" i="109" s="1"/>
  <c r="D98" i="109" a="1"/>
  <c r="D98" i="109" s="1"/>
  <c r="D97" i="109" a="1"/>
  <c r="D97" i="109" s="1"/>
  <c r="D96" i="109" a="1"/>
  <c r="D96" i="109" s="1"/>
  <c r="J16" i="109" a="1"/>
  <c r="J16" i="109" s="1"/>
  <c r="I16" i="109" a="1"/>
  <c r="I16" i="109" s="1"/>
  <c r="J15" i="109" a="1"/>
  <c r="J15" i="109" s="1"/>
  <c r="I15" i="109" a="1"/>
  <c r="I15" i="109" s="1"/>
  <c r="J14" i="109" a="1"/>
  <c r="J14" i="109" s="1"/>
  <c r="I14" i="109" a="1"/>
  <c r="I14" i="109" s="1"/>
  <c r="J13" i="109" a="1"/>
  <c r="J13" i="109" s="1"/>
  <c r="I13" i="109" a="1"/>
  <c r="I13" i="109" s="1"/>
  <c r="G13" i="109" a="1"/>
  <c r="G13" i="109" s="1"/>
  <c r="D13" i="109" a="1"/>
  <c r="D13" i="109" s="1"/>
  <c r="E11" i="109" a="1"/>
  <c r="E11" i="109" s="1"/>
  <c r="E10" i="109" a="1"/>
  <c r="E10" i="109" s="1"/>
  <c r="D6" i="109" a="1"/>
  <c r="D6" i="109" s="1"/>
  <c r="D5" i="109" a="1"/>
  <c r="D5" i="109" s="1"/>
  <c r="E139" i="107"/>
  <c r="G138" i="107"/>
  <c r="E138" i="107"/>
  <c r="G137" i="107"/>
  <c r="E137" i="107"/>
  <c r="D137" i="107"/>
  <c r="G136" i="107"/>
  <c r="E136" i="107"/>
  <c r="D136" i="107"/>
  <c r="G135" i="107"/>
  <c r="E135" i="107"/>
  <c r="D135" i="107"/>
  <c r="G134" i="107"/>
  <c r="E134" i="107"/>
  <c r="D134" i="107"/>
  <c r="G133" i="107"/>
  <c r="F133" i="107"/>
  <c r="E133" i="107"/>
  <c r="D133" i="107"/>
  <c r="I132" i="107"/>
  <c r="G132" i="107"/>
  <c r="F132" i="107"/>
  <c r="E132" i="107"/>
  <c r="D132" i="107"/>
  <c r="I131" i="107"/>
  <c r="H131" i="107"/>
  <c r="G131" i="107"/>
  <c r="F131" i="107"/>
  <c r="E131" i="107"/>
  <c r="D131" i="107"/>
  <c r="F120" i="107" a="1"/>
  <c r="F120" i="107" s="1"/>
  <c r="E120" i="107" a="1"/>
  <c r="E120" i="107" s="1"/>
  <c r="D120" i="107" a="1"/>
  <c r="D120" i="107" s="1"/>
  <c r="F119" i="107" a="1"/>
  <c r="F119" i="107" s="1"/>
  <c r="E119" i="107" a="1"/>
  <c r="E119" i="107" s="1"/>
  <c r="D119" i="107" a="1"/>
  <c r="D119" i="107" s="1"/>
  <c r="F118" i="107" a="1"/>
  <c r="F118" i="107" s="1"/>
  <c r="E118" i="107" a="1"/>
  <c r="E118" i="107" s="1"/>
  <c r="D118" i="107" a="1"/>
  <c r="D118" i="107" s="1"/>
  <c r="F117" i="107" a="1"/>
  <c r="F117" i="107" s="1"/>
  <c r="E117" i="107" a="1"/>
  <c r="E117" i="107" s="1"/>
  <c r="D117" i="107" a="1"/>
  <c r="D117" i="107" s="1"/>
  <c r="F116" i="107" a="1"/>
  <c r="F116" i="107" s="1"/>
  <c r="E116" i="107" a="1"/>
  <c r="E116" i="107" s="1"/>
  <c r="D116" i="107" a="1"/>
  <c r="D116" i="107" s="1"/>
  <c r="F115" i="107" a="1"/>
  <c r="F115" i="107" s="1"/>
  <c r="E115" i="107" a="1"/>
  <c r="E115" i="107" s="1"/>
  <c r="D115" i="107" a="1"/>
  <c r="D115" i="107" s="1"/>
  <c r="F114" i="107" a="1"/>
  <c r="F114" i="107" s="1"/>
  <c r="E114" i="107" a="1"/>
  <c r="E114" i="107" s="1"/>
  <c r="D114" i="107" a="1"/>
  <c r="D114" i="107" s="1"/>
  <c r="G113" i="107" a="1"/>
  <c r="G113" i="107" s="1"/>
  <c r="F113" i="107" a="1"/>
  <c r="F113" i="107" s="1"/>
  <c r="E113" i="107" a="1"/>
  <c r="E113" i="107" s="1"/>
  <c r="D113" i="107" a="1"/>
  <c r="D113" i="107" s="1"/>
  <c r="D110" i="107" a="1"/>
  <c r="D110" i="107" s="1"/>
  <c r="D109" i="107" a="1"/>
  <c r="D109" i="107" s="1"/>
  <c r="D108" i="107" a="1"/>
  <c r="D108" i="107" s="1"/>
  <c r="D107" i="107" a="1"/>
  <c r="D107" i="107" s="1"/>
  <c r="J104" i="107" a="1"/>
  <c r="J104" i="107" s="1"/>
  <c r="I104" i="107" a="1"/>
  <c r="I104" i="107" s="1"/>
  <c r="H104" i="107" a="1"/>
  <c r="H104" i="107" s="1"/>
  <c r="G104" i="107" a="1"/>
  <c r="G104" i="107" s="1"/>
  <c r="F104" i="107" a="1"/>
  <c r="F104" i="107" s="1"/>
  <c r="E104" i="107" a="1"/>
  <c r="E104" i="107" s="1"/>
  <c r="D104" i="107" a="1"/>
  <c r="D104" i="107" s="1"/>
  <c r="J103" i="107" a="1"/>
  <c r="J103" i="107" s="1"/>
  <c r="I103" i="107" a="1"/>
  <c r="I103" i="107" s="1"/>
  <c r="H103" i="107" a="1"/>
  <c r="H103" i="107" s="1"/>
  <c r="G103" i="107" a="1"/>
  <c r="G103" i="107" s="1"/>
  <c r="F103" i="107" a="1"/>
  <c r="F103" i="107" s="1"/>
  <c r="E103" i="107" a="1"/>
  <c r="E103" i="107" s="1"/>
  <c r="D103" i="107" a="1"/>
  <c r="D103" i="107" s="1"/>
  <c r="J102" i="107" a="1"/>
  <c r="J102" i="107" s="1"/>
  <c r="I102" i="107" a="1"/>
  <c r="I102" i="107" s="1"/>
  <c r="H102" i="107" a="1"/>
  <c r="H102" i="107" s="1"/>
  <c r="G102" i="107" a="1"/>
  <c r="G102" i="107" s="1"/>
  <c r="F102" i="107" a="1"/>
  <c r="F102" i="107" s="1"/>
  <c r="E102" i="107" a="1"/>
  <c r="E102" i="107" s="1"/>
  <c r="D102" i="107" a="1"/>
  <c r="D102" i="107" s="1"/>
  <c r="J101" i="107" a="1"/>
  <c r="J101" i="107" s="1"/>
  <c r="I101" i="107" a="1"/>
  <c r="I101" i="107" s="1"/>
  <c r="H101" i="107" a="1"/>
  <c r="H101" i="107" s="1"/>
  <c r="G101" i="107" a="1"/>
  <c r="G101" i="107" s="1"/>
  <c r="F101" i="107" a="1"/>
  <c r="F101" i="107" s="1"/>
  <c r="E101" i="107" a="1"/>
  <c r="E101" i="107" s="1"/>
  <c r="D101" i="107" a="1"/>
  <c r="D101" i="107" s="1"/>
  <c r="J100" i="107" a="1"/>
  <c r="J100" i="107" s="1"/>
  <c r="I100" i="107" a="1"/>
  <c r="I100" i="107" s="1"/>
  <c r="H100" i="107" a="1"/>
  <c r="H100" i="107" s="1"/>
  <c r="G100" i="107" a="1"/>
  <c r="G100" i="107" s="1"/>
  <c r="F100" i="107" a="1"/>
  <c r="F100" i="107" s="1"/>
  <c r="E100" i="107" a="1"/>
  <c r="E100" i="107" s="1"/>
  <c r="D100" i="107" a="1"/>
  <c r="D100" i="107" s="1"/>
  <c r="J99" i="107" a="1"/>
  <c r="J99" i="107" s="1"/>
  <c r="I99" i="107" a="1"/>
  <c r="I99" i="107" s="1"/>
  <c r="H99" i="107" a="1"/>
  <c r="H99" i="107" s="1"/>
  <c r="G99" i="107" a="1"/>
  <c r="G99" i="107" s="1"/>
  <c r="F99" i="107" a="1"/>
  <c r="F99" i="107" s="1"/>
  <c r="E99" i="107" a="1"/>
  <c r="E99" i="107" s="1"/>
  <c r="D99" i="107" a="1"/>
  <c r="D99" i="107" s="1"/>
  <c r="J98" i="107" a="1"/>
  <c r="J98" i="107" s="1"/>
  <c r="I98" i="107" a="1"/>
  <c r="I98" i="107" s="1"/>
  <c r="H98" i="107" a="1"/>
  <c r="H98" i="107" s="1"/>
  <c r="G98" i="107" a="1"/>
  <c r="G98" i="107" s="1"/>
  <c r="F98" i="107" a="1"/>
  <c r="F98" i="107" s="1"/>
  <c r="E98" i="107" a="1"/>
  <c r="E98" i="107" s="1"/>
  <c r="D98" i="107" a="1"/>
  <c r="D98" i="107" s="1"/>
  <c r="J97" i="107" a="1"/>
  <c r="J97" i="107" s="1"/>
  <c r="I97" i="107" a="1"/>
  <c r="I97" i="107" s="1"/>
  <c r="H97" i="107" a="1"/>
  <c r="H97" i="107" s="1"/>
  <c r="G97" i="107" a="1"/>
  <c r="G97" i="107" s="1"/>
  <c r="F97" i="107" a="1"/>
  <c r="F97" i="107" s="1"/>
  <c r="E97" i="107" a="1"/>
  <c r="E97" i="107" s="1"/>
  <c r="D97" i="107" a="1"/>
  <c r="D97" i="107" s="1"/>
  <c r="J96" i="107" a="1"/>
  <c r="J96" i="107" s="1"/>
  <c r="I96" i="107" a="1"/>
  <c r="I96" i="107" s="1"/>
  <c r="H96" i="107" a="1"/>
  <c r="H96" i="107" s="1"/>
  <c r="G96" i="107" a="1"/>
  <c r="G96" i="107" s="1"/>
  <c r="F96" i="107" a="1"/>
  <c r="F96" i="107" s="1"/>
  <c r="E96" i="107" a="1"/>
  <c r="E96" i="107" s="1"/>
  <c r="D96" i="107" a="1"/>
  <c r="D96" i="107" s="1"/>
  <c r="J95" i="107" a="1"/>
  <c r="J95" i="107" s="1"/>
  <c r="I95" i="107" a="1"/>
  <c r="I95" i="107" s="1"/>
  <c r="H95" i="107" a="1"/>
  <c r="H95" i="107" s="1"/>
  <c r="G95" i="107" a="1"/>
  <c r="G95" i="107" s="1"/>
  <c r="F95" i="107" a="1"/>
  <c r="F95" i="107" s="1"/>
  <c r="E95" i="107" a="1"/>
  <c r="E95" i="107" s="1"/>
  <c r="D95" i="107" a="1"/>
  <c r="D95" i="107" s="1"/>
  <c r="J94" i="107" a="1"/>
  <c r="J94" i="107" s="1"/>
  <c r="I94" i="107" a="1"/>
  <c r="I94" i="107" s="1"/>
  <c r="H94" i="107" a="1"/>
  <c r="H94" i="107" s="1"/>
  <c r="G94" i="107" a="1"/>
  <c r="G94" i="107" s="1"/>
  <c r="F94" i="107" a="1"/>
  <c r="F94" i="107" s="1"/>
  <c r="E94" i="107" a="1"/>
  <c r="E94" i="107" s="1"/>
  <c r="D94" i="107" a="1"/>
  <c r="D94" i="107" s="1"/>
  <c r="J93" i="107" a="1"/>
  <c r="J93" i="107" s="1"/>
  <c r="I93" i="107" a="1"/>
  <c r="I93" i="107" s="1"/>
  <c r="H93" i="107" a="1"/>
  <c r="H93" i="107" s="1"/>
  <c r="G93" i="107" a="1"/>
  <c r="G93" i="107" s="1"/>
  <c r="F93" i="107" a="1"/>
  <c r="F93" i="107" s="1"/>
  <c r="E93" i="107" a="1"/>
  <c r="E93" i="107" s="1"/>
  <c r="D93" i="107" a="1"/>
  <c r="D93" i="107" s="1"/>
  <c r="J92" i="107" a="1"/>
  <c r="J92" i="107" s="1"/>
  <c r="I92" i="107" a="1"/>
  <c r="I92" i="107" s="1"/>
  <c r="H92" i="107" a="1"/>
  <c r="H92" i="107" s="1"/>
  <c r="G92" i="107" a="1"/>
  <c r="G92" i="107" s="1"/>
  <c r="F92" i="107" a="1"/>
  <c r="F92" i="107" s="1"/>
  <c r="E92" i="107" a="1"/>
  <c r="E92" i="107" s="1"/>
  <c r="D92" i="107" a="1"/>
  <c r="D92" i="107" s="1"/>
  <c r="J91" i="107" a="1"/>
  <c r="J91" i="107" s="1"/>
  <c r="I91" i="107" a="1"/>
  <c r="I91" i="107" s="1"/>
  <c r="H91" i="107" a="1"/>
  <c r="H91" i="107" s="1"/>
  <c r="G91" i="107" a="1"/>
  <c r="G91" i="107" s="1"/>
  <c r="F91" i="107" a="1"/>
  <c r="F91" i="107" s="1"/>
  <c r="E91" i="107" a="1"/>
  <c r="E91" i="107" s="1"/>
  <c r="D91" i="107" a="1"/>
  <c r="D91" i="107" s="1"/>
  <c r="J90" i="107" a="1"/>
  <c r="J90" i="107" s="1"/>
  <c r="I90" i="107" a="1"/>
  <c r="I90" i="107" s="1"/>
  <c r="H90" i="107" a="1"/>
  <c r="H90" i="107" s="1"/>
  <c r="G90" i="107" a="1"/>
  <c r="G90" i="107" s="1"/>
  <c r="F90" i="107" a="1"/>
  <c r="F90" i="107" s="1"/>
  <c r="E90" i="107" a="1"/>
  <c r="E90" i="107" s="1"/>
  <c r="D90" i="107" a="1"/>
  <c r="D90" i="107" s="1"/>
  <c r="J89" i="107" a="1"/>
  <c r="J89" i="107" s="1"/>
  <c r="I89" i="107" a="1"/>
  <c r="I89" i="107" s="1"/>
  <c r="H89" i="107" a="1"/>
  <c r="H89" i="107" s="1"/>
  <c r="G89" i="107" a="1"/>
  <c r="G89" i="107" s="1"/>
  <c r="F89" i="107" a="1"/>
  <c r="F89" i="107" s="1"/>
  <c r="E89" i="107" a="1"/>
  <c r="E89" i="107" s="1"/>
  <c r="D89" i="107" a="1"/>
  <c r="D89" i="107" s="1"/>
  <c r="J88" i="107" a="1"/>
  <c r="J88" i="107" s="1"/>
  <c r="I88" i="107" a="1"/>
  <c r="I88" i="107" s="1"/>
  <c r="H88" i="107" a="1"/>
  <c r="H88" i="107" s="1"/>
  <c r="G88" i="107" a="1"/>
  <c r="G88" i="107" s="1"/>
  <c r="F88" i="107" a="1"/>
  <c r="F88" i="107" s="1"/>
  <c r="E88" i="107" a="1"/>
  <c r="E88" i="107" s="1"/>
  <c r="D88" i="107" a="1"/>
  <c r="D88" i="107" s="1"/>
  <c r="J87" i="107" a="1"/>
  <c r="J87" i="107" s="1"/>
  <c r="I87" i="107" a="1"/>
  <c r="I87" i="107" s="1"/>
  <c r="H87" i="107" a="1"/>
  <c r="H87" i="107" s="1"/>
  <c r="G87" i="107" a="1"/>
  <c r="G87" i="107" s="1"/>
  <c r="F87" i="107" a="1"/>
  <c r="F87" i="107" s="1"/>
  <c r="E87" i="107" a="1"/>
  <c r="E87" i="107" s="1"/>
  <c r="D87" i="107" a="1"/>
  <c r="D87" i="107" s="1"/>
  <c r="D84" i="107" a="1"/>
  <c r="D84" i="107" s="1"/>
  <c r="D83" i="107" a="1"/>
  <c r="D83" i="107" s="1"/>
  <c r="D82" i="107" a="1"/>
  <c r="D82" i="107" s="1"/>
  <c r="D81" i="107" a="1"/>
  <c r="D81" i="107" s="1"/>
  <c r="K77" i="107" a="1"/>
  <c r="K77" i="107" s="1"/>
  <c r="J77" i="107" a="1"/>
  <c r="J77" i="107" s="1"/>
  <c r="I77" i="107" a="1"/>
  <c r="I77" i="107" s="1"/>
  <c r="H77" i="107" a="1"/>
  <c r="H77" i="107" s="1"/>
  <c r="G77" i="107" a="1"/>
  <c r="G77" i="107" s="1"/>
  <c r="F77" i="107" a="1"/>
  <c r="F77" i="107" s="1"/>
  <c r="E77" i="107" a="1"/>
  <c r="E77" i="107" s="1"/>
  <c r="D77" i="107" a="1"/>
  <c r="D77" i="107" s="1"/>
  <c r="K76" i="107" a="1"/>
  <c r="K76" i="107" s="1"/>
  <c r="J76" i="107" a="1"/>
  <c r="J76" i="107" s="1"/>
  <c r="I76" i="107" a="1"/>
  <c r="I76" i="107" s="1"/>
  <c r="H76" i="107" a="1"/>
  <c r="H76" i="107" s="1"/>
  <c r="G76" i="107" a="1"/>
  <c r="G76" i="107" s="1"/>
  <c r="F76" i="107" a="1"/>
  <c r="F76" i="107" s="1"/>
  <c r="E76" i="107" a="1"/>
  <c r="E76" i="107" s="1"/>
  <c r="D76" i="107" a="1"/>
  <c r="D76" i="107" s="1"/>
  <c r="K75" i="107" a="1"/>
  <c r="K75" i="107" s="1"/>
  <c r="J75" i="107" a="1"/>
  <c r="J75" i="107" s="1"/>
  <c r="I75" i="107" a="1"/>
  <c r="I75" i="107" s="1"/>
  <c r="H75" i="107" a="1"/>
  <c r="H75" i="107" s="1"/>
  <c r="G75" i="107" a="1"/>
  <c r="G75" i="107" s="1"/>
  <c r="F75" i="107" a="1"/>
  <c r="F75" i="107" s="1"/>
  <c r="E75" i="107" a="1"/>
  <c r="E75" i="107" s="1"/>
  <c r="D75" i="107" a="1"/>
  <c r="D75" i="107" s="1"/>
  <c r="K74" i="107" a="1"/>
  <c r="K74" i="107" s="1"/>
  <c r="J74" i="107" a="1"/>
  <c r="J74" i="107" s="1"/>
  <c r="I74" i="107" a="1"/>
  <c r="I74" i="107" s="1"/>
  <c r="H74" i="107" a="1"/>
  <c r="H74" i="107" s="1"/>
  <c r="G74" i="107" a="1"/>
  <c r="G74" i="107" s="1"/>
  <c r="F74" i="107" a="1"/>
  <c r="F74" i="107" s="1"/>
  <c r="E74" i="107" a="1"/>
  <c r="E74" i="107" s="1"/>
  <c r="D74" i="107" a="1"/>
  <c r="D74" i="107" s="1"/>
  <c r="K73" i="107" a="1"/>
  <c r="K73" i="107" s="1"/>
  <c r="J73" i="107" a="1"/>
  <c r="J73" i="107" s="1"/>
  <c r="I73" i="107" a="1"/>
  <c r="I73" i="107" s="1"/>
  <c r="H73" i="107" a="1"/>
  <c r="H73" i="107" s="1"/>
  <c r="G73" i="107" a="1"/>
  <c r="G73" i="107" s="1"/>
  <c r="F73" i="107" a="1"/>
  <c r="F73" i="107" s="1"/>
  <c r="E73" i="107" a="1"/>
  <c r="E73" i="107" s="1"/>
  <c r="D73" i="107" a="1"/>
  <c r="D73" i="107" s="1"/>
  <c r="K72" i="107" a="1"/>
  <c r="K72" i="107" s="1"/>
  <c r="J72" i="107" a="1"/>
  <c r="J72" i="107" s="1"/>
  <c r="I72" i="107" a="1"/>
  <c r="I72" i="107" s="1"/>
  <c r="H72" i="107" a="1"/>
  <c r="H72" i="107" s="1"/>
  <c r="G72" i="107" a="1"/>
  <c r="G72" i="107" s="1"/>
  <c r="F72" i="107" a="1"/>
  <c r="F72" i="107" s="1"/>
  <c r="E72" i="107" a="1"/>
  <c r="E72" i="107" s="1"/>
  <c r="D72" i="107" a="1"/>
  <c r="D72" i="107" s="1"/>
  <c r="K71" i="107" a="1"/>
  <c r="K71" i="107" s="1"/>
  <c r="J71" i="107" a="1"/>
  <c r="J71" i="107" s="1"/>
  <c r="I71" i="107" a="1"/>
  <c r="I71" i="107" s="1"/>
  <c r="H71" i="107" a="1"/>
  <c r="H71" i="107" s="1"/>
  <c r="G71" i="107" a="1"/>
  <c r="G71" i="107" s="1"/>
  <c r="F71" i="107" a="1"/>
  <c r="F71" i="107" s="1"/>
  <c r="E71" i="107" a="1"/>
  <c r="E71" i="107" s="1"/>
  <c r="D71" i="107" a="1"/>
  <c r="D71" i="107" s="1"/>
  <c r="K70" i="107" a="1"/>
  <c r="K70" i="107" s="1"/>
  <c r="J70" i="107" a="1"/>
  <c r="J70" i="107" s="1"/>
  <c r="I70" i="107" a="1"/>
  <c r="I70" i="107" s="1"/>
  <c r="H70" i="107" a="1"/>
  <c r="H70" i="107" s="1"/>
  <c r="G70" i="107" a="1"/>
  <c r="G70" i="107" s="1"/>
  <c r="F70" i="107" a="1"/>
  <c r="F70" i="107" s="1"/>
  <c r="E70" i="107" a="1"/>
  <c r="E70" i="107" s="1"/>
  <c r="D70" i="107" a="1"/>
  <c r="D70" i="107" s="1"/>
  <c r="K69" i="107" a="1"/>
  <c r="K69" i="107" s="1"/>
  <c r="J69" i="107" a="1"/>
  <c r="J69" i="107" s="1"/>
  <c r="I69" i="107" a="1"/>
  <c r="I69" i="107" s="1"/>
  <c r="H69" i="107" a="1"/>
  <c r="H69" i="107" s="1"/>
  <c r="G69" i="107" a="1"/>
  <c r="G69" i="107" s="1"/>
  <c r="F69" i="107" a="1"/>
  <c r="F69" i="107" s="1"/>
  <c r="E69" i="107" a="1"/>
  <c r="E69" i="107" s="1"/>
  <c r="D69" i="107" a="1"/>
  <c r="D69" i="107" s="1"/>
  <c r="K68" i="107" a="1"/>
  <c r="K68" i="107" s="1"/>
  <c r="J68" i="107" a="1"/>
  <c r="J68" i="107" s="1"/>
  <c r="I68" i="107" a="1"/>
  <c r="I68" i="107" s="1"/>
  <c r="H68" i="107" a="1"/>
  <c r="H68" i="107" s="1"/>
  <c r="G68" i="107" a="1"/>
  <c r="G68" i="107" s="1"/>
  <c r="F68" i="107" a="1"/>
  <c r="F68" i="107" s="1"/>
  <c r="E68" i="107" a="1"/>
  <c r="E68" i="107" s="1"/>
  <c r="D68" i="107" a="1"/>
  <c r="D68" i="107" s="1"/>
  <c r="K67" i="107" a="1"/>
  <c r="K67" i="107" s="1"/>
  <c r="J67" i="107" a="1"/>
  <c r="J67" i="107" s="1"/>
  <c r="I67" i="107" a="1"/>
  <c r="I67" i="107" s="1"/>
  <c r="H67" i="107" a="1"/>
  <c r="H67" i="107" s="1"/>
  <c r="G67" i="107" a="1"/>
  <c r="G67" i="107" s="1"/>
  <c r="F67" i="107" a="1"/>
  <c r="F67" i="107" s="1"/>
  <c r="E67" i="107" a="1"/>
  <c r="E67" i="107" s="1"/>
  <c r="D67" i="107" a="1"/>
  <c r="D67" i="107" s="1"/>
  <c r="K66" i="107" a="1"/>
  <c r="K66" i="107" s="1"/>
  <c r="J66" i="107" a="1"/>
  <c r="J66" i="107" s="1"/>
  <c r="I66" i="107" a="1"/>
  <c r="I66" i="107" s="1"/>
  <c r="H66" i="107" a="1"/>
  <c r="H66" i="107" s="1"/>
  <c r="G66" i="107" a="1"/>
  <c r="G66" i="107" s="1"/>
  <c r="F66" i="107" a="1"/>
  <c r="F66" i="107" s="1"/>
  <c r="E66" i="107" a="1"/>
  <c r="E66" i="107" s="1"/>
  <c r="D66" i="107" a="1"/>
  <c r="D66" i="107" s="1"/>
  <c r="K65" i="107" a="1"/>
  <c r="K65" i="107" s="1"/>
  <c r="J65" i="107" a="1"/>
  <c r="J65" i="107" s="1"/>
  <c r="I65" i="107" a="1"/>
  <c r="I65" i="107" s="1"/>
  <c r="H65" i="107" a="1"/>
  <c r="H65" i="107" s="1"/>
  <c r="G65" i="107" a="1"/>
  <c r="G65" i="107" s="1"/>
  <c r="F65" i="107" a="1"/>
  <c r="F65" i="107" s="1"/>
  <c r="E65" i="107" a="1"/>
  <c r="E65" i="107" s="1"/>
  <c r="D65" i="107" a="1"/>
  <c r="D65" i="107" s="1"/>
  <c r="K64" i="107" a="1"/>
  <c r="K64" i="107" s="1"/>
  <c r="J64" i="107" a="1"/>
  <c r="J64" i="107" s="1"/>
  <c r="I64" i="107" a="1"/>
  <c r="I64" i="107" s="1"/>
  <c r="H64" i="107" a="1"/>
  <c r="H64" i="107" s="1"/>
  <c r="G64" i="107" a="1"/>
  <c r="G64" i="107" s="1"/>
  <c r="F64" i="107" a="1"/>
  <c r="F64" i="107" s="1"/>
  <c r="E64" i="107" a="1"/>
  <c r="E64" i="107" s="1"/>
  <c r="D64" i="107" a="1"/>
  <c r="D64" i="107" s="1"/>
  <c r="K63" i="107" a="1"/>
  <c r="K63" i="107" s="1"/>
  <c r="J63" i="107" a="1"/>
  <c r="J63" i="107" s="1"/>
  <c r="I63" i="107" a="1"/>
  <c r="I63" i="107" s="1"/>
  <c r="H63" i="107" a="1"/>
  <c r="H63" i="107" s="1"/>
  <c r="G63" i="107" a="1"/>
  <c r="G63" i="107" s="1"/>
  <c r="F63" i="107" a="1"/>
  <c r="F63" i="107" s="1"/>
  <c r="E63" i="107" a="1"/>
  <c r="E63" i="107" s="1"/>
  <c r="D63" i="107" a="1"/>
  <c r="D63" i="107" s="1"/>
  <c r="K62" i="107" a="1"/>
  <c r="K62" i="107" s="1"/>
  <c r="J62" i="107" a="1"/>
  <c r="J62" i="107" s="1"/>
  <c r="I62" i="107" a="1"/>
  <c r="I62" i="107" s="1"/>
  <c r="H62" i="107" a="1"/>
  <c r="H62" i="107" s="1"/>
  <c r="G62" i="107" a="1"/>
  <c r="G62" i="107" s="1"/>
  <c r="F62" i="107" a="1"/>
  <c r="F62" i="107" s="1"/>
  <c r="E62" i="107" a="1"/>
  <c r="E62" i="107" s="1"/>
  <c r="D62" i="107" a="1"/>
  <c r="D62" i="107" s="1"/>
  <c r="K61" i="107" a="1"/>
  <c r="K61" i="107" s="1"/>
  <c r="J61" i="107" a="1"/>
  <c r="J61" i="107" s="1"/>
  <c r="I61" i="107" a="1"/>
  <c r="I61" i="107" s="1"/>
  <c r="H61" i="107" a="1"/>
  <c r="H61" i="107" s="1"/>
  <c r="G61" i="107" a="1"/>
  <c r="G61" i="107" s="1"/>
  <c r="F61" i="107" a="1"/>
  <c r="F61" i="107" s="1"/>
  <c r="E61" i="107" a="1"/>
  <c r="E61" i="107" s="1"/>
  <c r="D61" i="107" a="1"/>
  <c r="D61" i="107" s="1"/>
  <c r="K60" i="107" a="1"/>
  <c r="K60" i="107" s="1"/>
  <c r="J60" i="107" a="1"/>
  <c r="J60" i="107" s="1"/>
  <c r="I60" i="107" a="1"/>
  <c r="I60" i="107" s="1"/>
  <c r="H60" i="107" a="1"/>
  <c r="H60" i="107" s="1"/>
  <c r="G60" i="107" a="1"/>
  <c r="G60" i="107" s="1"/>
  <c r="F60" i="107" a="1"/>
  <c r="F60" i="107" s="1"/>
  <c r="E60" i="107" a="1"/>
  <c r="E60" i="107" s="1"/>
  <c r="D60" i="107" a="1"/>
  <c r="D60" i="107" s="1"/>
  <c r="K59" i="107" a="1"/>
  <c r="K59" i="107" s="1"/>
  <c r="J59" i="107" a="1"/>
  <c r="J59" i="107" s="1"/>
  <c r="I59" i="107" a="1"/>
  <c r="I59" i="107" s="1"/>
  <c r="H59" i="107" a="1"/>
  <c r="H59" i="107" s="1"/>
  <c r="G59" i="107" a="1"/>
  <c r="G59" i="107" s="1"/>
  <c r="F59" i="107" a="1"/>
  <c r="F59" i="107" s="1"/>
  <c r="E59" i="107" a="1"/>
  <c r="E59" i="107" s="1"/>
  <c r="D59" i="107" a="1"/>
  <c r="D59" i="107" s="1"/>
  <c r="K58" i="107" a="1"/>
  <c r="K58" i="107" s="1"/>
  <c r="J58" i="107" a="1"/>
  <c r="J58" i="107" s="1"/>
  <c r="I58" i="107" a="1"/>
  <c r="I58" i="107" s="1"/>
  <c r="H58" i="107" a="1"/>
  <c r="H58" i="107" s="1"/>
  <c r="G58" i="107" a="1"/>
  <c r="G58" i="107" s="1"/>
  <c r="F58" i="107" a="1"/>
  <c r="F58" i="107" s="1"/>
  <c r="E58" i="107" a="1"/>
  <c r="E58" i="107" s="1"/>
  <c r="D58" i="107" a="1"/>
  <c r="D58" i="107" s="1"/>
  <c r="K57" i="107" a="1"/>
  <c r="K57" i="107" s="1"/>
  <c r="J57" i="107" a="1"/>
  <c r="J57" i="107" s="1"/>
  <c r="I57" i="107" a="1"/>
  <c r="I57" i="107" s="1"/>
  <c r="H57" i="107" a="1"/>
  <c r="H57" i="107" s="1"/>
  <c r="G57" i="107" a="1"/>
  <c r="G57" i="107" s="1"/>
  <c r="F57" i="107" a="1"/>
  <c r="F57" i="107" s="1"/>
  <c r="E57" i="107" a="1"/>
  <c r="E57" i="107" s="1"/>
  <c r="D57" i="107" a="1"/>
  <c r="D57" i="107" s="1"/>
  <c r="K56" i="107" a="1"/>
  <c r="K56" i="107" s="1"/>
  <c r="J56" i="107" a="1"/>
  <c r="J56" i="107" s="1"/>
  <c r="I56" i="107" a="1"/>
  <c r="I56" i="107" s="1"/>
  <c r="H56" i="107" a="1"/>
  <c r="H56" i="107" s="1"/>
  <c r="G56" i="107" a="1"/>
  <c r="G56" i="107" s="1"/>
  <c r="F56" i="107" a="1"/>
  <c r="F56" i="107" s="1"/>
  <c r="E56" i="107" a="1"/>
  <c r="E56" i="107" s="1"/>
  <c r="D56" i="107" a="1"/>
  <c r="D56" i="107" s="1"/>
  <c r="K55" i="107" a="1"/>
  <c r="K55" i="107" s="1"/>
  <c r="J55" i="107" a="1"/>
  <c r="J55" i="107" s="1"/>
  <c r="I55" i="107" a="1"/>
  <c r="I55" i="107" s="1"/>
  <c r="H55" i="107" a="1"/>
  <c r="H55" i="107" s="1"/>
  <c r="G55" i="107" a="1"/>
  <c r="G55" i="107" s="1"/>
  <c r="F55" i="107" a="1"/>
  <c r="F55" i="107" s="1"/>
  <c r="E55" i="107" a="1"/>
  <c r="E55" i="107" s="1"/>
  <c r="D55" i="107" a="1"/>
  <c r="D55" i="107" s="1"/>
  <c r="K54" i="107" a="1"/>
  <c r="K54" i="107" s="1"/>
  <c r="J54" i="107" a="1"/>
  <c r="J54" i="107" s="1"/>
  <c r="I54" i="107" a="1"/>
  <c r="I54" i="107" s="1"/>
  <c r="H54" i="107" a="1"/>
  <c r="H54" i="107" s="1"/>
  <c r="G54" i="107" a="1"/>
  <c r="G54" i="107" s="1"/>
  <c r="F54" i="107" a="1"/>
  <c r="F54" i="107" s="1"/>
  <c r="E54" i="107" a="1"/>
  <c r="E54" i="107" s="1"/>
  <c r="D54" i="107" a="1"/>
  <c r="D54" i="107" s="1"/>
  <c r="D52" i="107" a="1"/>
  <c r="D52" i="107" s="1"/>
  <c r="D51" i="107" a="1"/>
  <c r="D51" i="107" s="1"/>
  <c r="D50" i="107" a="1"/>
  <c r="D50" i="107" s="1"/>
  <c r="D49" i="107" a="1"/>
  <c r="D49" i="107" s="1"/>
  <c r="J43" i="107" a="1"/>
  <c r="J43" i="107" s="1"/>
  <c r="I43" i="107" a="1"/>
  <c r="I43" i="107" s="1"/>
  <c r="H43" i="107" a="1"/>
  <c r="H43" i="107" s="1"/>
  <c r="G43" i="107" a="1"/>
  <c r="G43" i="107" s="1"/>
  <c r="F43" i="107" a="1"/>
  <c r="F43" i="107" s="1"/>
  <c r="E43" i="107" a="1"/>
  <c r="E43" i="107" s="1"/>
  <c r="D43" i="107" a="1"/>
  <c r="D43" i="107" s="1"/>
  <c r="J42" i="107" a="1"/>
  <c r="J42" i="107" s="1"/>
  <c r="I42" i="107" a="1"/>
  <c r="I42" i="107" s="1"/>
  <c r="H42" i="107" a="1"/>
  <c r="H42" i="107" s="1"/>
  <c r="G42" i="107" a="1"/>
  <c r="G42" i="107" s="1"/>
  <c r="F42" i="107" a="1"/>
  <c r="F42" i="107" s="1"/>
  <c r="E42" i="107" a="1"/>
  <c r="E42" i="107" s="1"/>
  <c r="D42" i="107" a="1"/>
  <c r="D42" i="107" s="1"/>
  <c r="J41" i="107" a="1"/>
  <c r="J41" i="107" s="1"/>
  <c r="I41" i="107" a="1"/>
  <c r="I41" i="107" s="1"/>
  <c r="H41" i="107" a="1"/>
  <c r="H41" i="107" s="1"/>
  <c r="G41" i="107" a="1"/>
  <c r="G41" i="107" s="1"/>
  <c r="F41" i="107" a="1"/>
  <c r="F41" i="107" s="1"/>
  <c r="E41" i="107" a="1"/>
  <c r="E41" i="107" s="1"/>
  <c r="D41" i="107" a="1"/>
  <c r="D41" i="107" s="1"/>
  <c r="J40" i="107" a="1"/>
  <c r="J40" i="107" s="1"/>
  <c r="I40" i="107" a="1"/>
  <c r="I40" i="107" s="1"/>
  <c r="H40" i="107" a="1"/>
  <c r="H40" i="107" s="1"/>
  <c r="G40" i="107" a="1"/>
  <c r="G40" i="107" s="1"/>
  <c r="F40" i="107" a="1"/>
  <c r="F40" i="107" s="1"/>
  <c r="E40" i="107" a="1"/>
  <c r="E40" i="107" s="1"/>
  <c r="D40" i="107" a="1"/>
  <c r="D40" i="107" s="1"/>
  <c r="D38" i="107" a="1"/>
  <c r="D38" i="107" s="1"/>
  <c r="D37" i="107" a="1"/>
  <c r="D37" i="107" s="1"/>
  <c r="L34" i="107" a="1"/>
  <c r="L34" i="107" s="1"/>
  <c r="K34" i="107" a="1"/>
  <c r="K34" i="107" s="1"/>
  <c r="J34" i="107" a="1"/>
  <c r="J34" i="107" s="1"/>
  <c r="I34" i="107" a="1"/>
  <c r="I34" i="107" s="1"/>
  <c r="H34" i="107" a="1"/>
  <c r="H34" i="107" s="1"/>
  <c r="G34" i="107" a="1"/>
  <c r="G34" i="107" s="1"/>
  <c r="F34" i="107" a="1"/>
  <c r="F34" i="107" s="1"/>
  <c r="E34" i="107" a="1"/>
  <c r="E34" i="107" s="1"/>
  <c r="D34" i="107" a="1"/>
  <c r="D34" i="107" s="1"/>
  <c r="L33" i="107" a="1"/>
  <c r="L33" i="107" s="1"/>
  <c r="K33" i="107" a="1"/>
  <c r="K33" i="107" s="1"/>
  <c r="J33" i="107" a="1"/>
  <c r="J33" i="107" s="1"/>
  <c r="I33" i="107" a="1"/>
  <c r="I33" i="107" s="1"/>
  <c r="H33" i="107" a="1"/>
  <c r="H33" i="107" s="1"/>
  <c r="G33" i="107" a="1"/>
  <c r="G33" i="107" s="1"/>
  <c r="F33" i="107" a="1"/>
  <c r="F33" i="107" s="1"/>
  <c r="E33" i="107" a="1"/>
  <c r="E33" i="107" s="1"/>
  <c r="D33" i="107" a="1"/>
  <c r="D33" i="107" s="1"/>
  <c r="L32" i="107" a="1"/>
  <c r="L32" i="107" s="1"/>
  <c r="K32" i="107" a="1"/>
  <c r="K32" i="107" s="1"/>
  <c r="J32" i="107" a="1"/>
  <c r="J32" i="107" s="1"/>
  <c r="I32" i="107" a="1"/>
  <c r="I32" i="107" s="1"/>
  <c r="H32" i="107" a="1"/>
  <c r="H32" i="107" s="1"/>
  <c r="G32" i="107" a="1"/>
  <c r="G32" i="107" s="1"/>
  <c r="F32" i="107" a="1"/>
  <c r="F32" i="107" s="1"/>
  <c r="E32" i="107" a="1"/>
  <c r="E32" i="107" s="1"/>
  <c r="D32" i="107" a="1"/>
  <c r="D32" i="107" s="1"/>
  <c r="L31" i="107" a="1"/>
  <c r="L31" i="107" s="1"/>
  <c r="K31" i="107" a="1"/>
  <c r="K31" i="107" s="1"/>
  <c r="J31" i="107" a="1"/>
  <c r="J31" i="107" s="1"/>
  <c r="I31" i="107" a="1"/>
  <c r="I31" i="107" s="1"/>
  <c r="H31" i="107" a="1"/>
  <c r="H31" i="107" s="1"/>
  <c r="G31" i="107" a="1"/>
  <c r="G31" i="107" s="1"/>
  <c r="F31" i="107" a="1"/>
  <c r="F31" i="107" s="1"/>
  <c r="E31" i="107" a="1"/>
  <c r="E31" i="107" s="1"/>
  <c r="D31" i="107" a="1"/>
  <c r="D31" i="107" s="1"/>
  <c r="L30" i="107" a="1"/>
  <c r="L30" i="107" s="1"/>
  <c r="K30" i="107" a="1"/>
  <c r="K30" i="107" s="1"/>
  <c r="J30" i="107" a="1"/>
  <c r="J30" i="107" s="1"/>
  <c r="I30" i="107" a="1"/>
  <c r="I30" i="107" s="1"/>
  <c r="H30" i="107" a="1"/>
  <c r="H30" i="107" s="1"/>
  <c r="G30" i="107" a="1"/>
  <c r="G30" i="107" s="1"/>
  <c r="F30" i="107" a="1"/>
  <c r="F30" i="107" s="1"/>
  <c r="E30" i="107" a="1"/>
  <c r="E30" i="107" s="1"/>
  <c r="D30" i="107" a="1"/>
  <c r="D30" i="107" s="1"/>
  <c r="L29" i="107" a="1"/>
  <c r="L29" i="107" s="1"/>
  <c r="K29" i="107" a="1"/>
  <c r="K29" i="107" s="1"/>
  <c r="J29" i="107" a="1"/>
  <c r="J29" i="107" s="1"/>
  <c r="I29" i="107" a="1"/>
  <c r="I29" i="107" s="1"/>
  <c r="H29" i="107" a="1"/>
  <c r="H29" i="107" s="1"/>
  <c r="G29" i="107" a="1"/>
  <c r="G29" i="107" s="1"/>
  <c r="F29" i="107" a="1"/>
  <c r="F29" i="107" s="1"/>
  <c r="E29" i="107" a="1"/>
  <c r="E29" i="107" s="1"/>
  <c r="D29" i="107" a="1"/>
  <c r="D29" i="107" s="1"/>
  <c r="L28" i="107" a="1"/>
  <c r="L28" i="107" s="1"/>
  <c r="K28" i="107" a="1"/>
  <c r="K28" i="107" s="1"/>
  <c r="J28" i="107" a="1"/>
  <c r="J28" i="107" s="1"/>
  <c r="I28" i="107" a="1"/>
  <c r="I28" i="107" s="1"/>
  <c r="H28" i="107" a="1"/>
  <c r="H28" i="107" s="1"/>
  <c r="G28" i="107" a="1"/>
  <c r="G28" i="107" s="1"/>
  <c r="F28" i="107" a="1"/>
  <c r="F28" i="107" s="1"/>
  <c r="E28" i="107" a="1"/>
  <c r="E28" i="107" s="1"/>
  <c r="D28" i="107" a="1"/>
  <c r="D28" i="107" s="1"/>
  <c r="L27" i="107" a="1"/>
  <c r="L27" i="107" s="1"/>
  <c r="K27" i="107" a="1"/>
  <c r="K27" i="107" s="1"/>
  <c r="J27" i="107" a="1"/>
  <c r="J27" i="107" s="1"/>
  <c r="I27" i="107" a="1"/>
  <c r="I27" i="107" s="1"/>
  <c r="H27" i="107" a="1"/>
  <c r="H27" i="107" s="1"/>
  <c r="G27" i="107" a="1"/>
  <c r="G27" i="107" s="1"/>
  <c r="F27" i="107" a="1"/>
  <c r="F27" i="107" s="1"/>
  <c r="E27" i="107" a="1"/>
  <c r="E27" i="107" s="1"/>
  <c r="D27" i="107" a="1"/>
  <c r="D27" i="107" s="1"/>
  <c r="L26" i="107" a="1"/>
  <c r="L26" i="107" s="1"/>
  <c r="K26" i="107" a="1"/>
  <c r="K26" i="107" s="1"/>
  <c r="J26" i="107" a="1"/>
  <c r="J26" i="107" s="1"/>
  <c r="I26" i="107" a="1"/>
  <c r="I26" i="107" s="1"/>
  <c r="H26" i="107" a="1"/>
  <c r="H26" i="107" s="1"/>
  <c r="G26" i="107" a="1"/>
  <c r="G26" i="107" s="1"/>
  <c r="F26" i="107" a="1"/>
  <c r="F26" i="107" s="1"/>
  <c r="E26" i="107" a="1"/>
  <c r="E26" i="107" s="1"/>
  <c r="D26" i="107" a="1"/>
  <c r="D26" i="107" s="1"/>
  <c r="L25" i="107" a="1"/>
  <c r="L25" i="107" s="1"/>
  <c r="K25" i="107" a="1"/>
  <c r="K25" i="107" s="1"/>
  <c r="J25" i="107" a="1"/>
  <c r="J25" i="107" s="1"/>
  <c r="I25" i="107" a="1"/>
  <c r="I25" i="107" s="1"/>
  <c r="H25" i="107" a="1"/>
  <c r="H25" i="107" s="1"/>
  <c r="G25" i="107" a="1"/>
  <c r="G25" i="107" s="1"/>
  <c r="F25" i="107" a="1"/>
  <c r="F25" i="107" s="1"/>
  <c r="E25" i="107" a="1"/>
  <c r="E25" i="107" s="1"/>
  <c r="D25" i="107" a="1"/>
  <c r="D25" i="107" s="1"/>
  <c r="L24" i="107" a="1"/>
  <c r="L24" i="107" s="1"/>
  <c r="K24" i="107" a="1"/>
  <c r="K24" i="107" s="1"/>
  <c r="J24" i="107" a="1"/>
  <c r="J24" i="107" s="1"/>
  <c r="I24" i="107" a="1"/>
  <c r="I24" i="107" s="1"/>
  <c r="H24" i="107" a="1"/>
  <c r="H24" i="107" s="1"/>
  <c r="G24" i="107" a="1"/>
  <c r="G24" i="107" s="1"/>
  <c r="F24" i="107" a="1"/>
  <c r="F24" i="107" s="1"/>
  <c r="E24" i="107" a="1"/>
  <c r="E24" i="107" s="1"/>
  <c r="D24" i="107" a="1"/>
  <c r="D24" i="107" s="1"/>
  <c r="L23" i="107" a="1"/>
  <c r="L23" i="107" s="1"/>
  <c r="K23" i="107" a="1"/>
  <c r="K23" i="107" s="1"/>
  <c r="J23" i="107" a="1"/>
  <c r="J23" i="107" s="1"/>
  <c r="I23" i="107" a="1"/>
  <c r="I23" i="107" s="1"/>
  <c r="H23" i="107" a="1"/>
  <c r="H23" i="107" s="1"/>
  <c r="G23" i="107" a="1"/>
  <c r="G23" i="107" s="1"/>
  <c r="F23" i="107" a="1"/>
  <c r="F23" i="107" s="1"/>
  <c r="E23" i="107" a="1"/>
  <c r="E23" i="107" s="1"/>
  <c r="D23" i="107" a="1"/>
  <c r="D23" i="107" s="1"/>
  <c r="L22" i="107" a="1"/>
  <c r="L22" i="107" s="1"/>
  <c r="K22" i="107" a="1"/>
  <c r="K22" i="107" s="1"/>
  <c r="J22" i="107" a="1"/>
  <c r="J22" i="107" s="1"/>
  <c r="I22" i="107" a="1"/>
  <c r="I22" i="107" s="1"/>
  <c r="H22" i="107" a="1"/>
  <c r="H22" i="107" s="1"/>
  <c r="G22" i="107" a="1"/>
  <c r="G22" i="107" s="1"/>
  <c r="F22" i="107" a="1"/>
  <c r="F22" i="107" s="1"/>
  <c r="E22" i="107" a="1"/>
  <c r="E22" i="107" s="1"/>
  <c r="D22" i="107" a="1"/>
  <c r="D22" i="107" s="1"/>
  <c r="L21" i="107" a="1"/>
  <c r="L21" i="107" s="1"/>
  <c r="K21" i="107" a="1"/>
  <c r="K21" i="107" s="1"/>
  <c r="J21" i="107" a="1"/>
  <c r="J21" i="107" s="1"/>
  <c r="I21" i="107" a="1"/>
  <c r="I21" i="107" s="1"/>
  <c r="H21" i="107" a="1"/>
  <c r="H21" i="107" s="1"/>
  <c r="G21" i="107" a="1"/>
  <c r="G21" i="107" s="1"/>
  <c r="F21" i="107" a="1"/>
  <c r="F21" i="107" s="1"/>
  <c r="E21" i="107" a="1"/>
  <c r="E21" i="107" s="1"/>
  <c r="D21" i="107" a="1"/>
  <c r="D21" i="107" s="1"/>
  <c r="L20" i="107" a="1"/>
  <c r="L20" i="107" s="1"/>
  <c r="K20" i="107" a="1"/>
  <c r="K20" i="107" s="1"/>
  <c r="J20" i="107" a="1"/>
  <c r="J20" i="107" s="1"/>
  <c r="I20" i="107" a="1"/>
  <c r="I20" i="107" s="1"/>
  <c r="H20" i="107" a="1"/>
  <c r="H20" i="107" s="1"/>
  <c r="G20" i="107" a="1"/>
  <c r="G20" i="107" s="1"/>
  <c r="F20" i="107" a="1"/>
  <c r="F20" i="107" s="1"/>
  <c r="E20" i="107" a="1"/>
  <c r="E20" i="107" s="1"/>
  <c r="D20" i="107" a="1"/>
  <c r="D20" i="107" s="1"/>
  <c r="L19" i="107" a="1"/>
  <c r="L19" i="107" s="1"/>
  <c r="K19" i="107" a="1"/>
  <c r="K19" i="107" s="1"/>
  <c r="J19" i="107" a="1"/>
  <c r="J19" i="107" s="1"/>
  <c r="I19" i="107" a="1"/>
  <c r="I19" i="107" s="1"/>
  <c r="H19" i="107" a="1"/>
  <c r="H19" i="107" s="1"/>
  <c r="G19" i="107" a="1"/>
  <c r="G19" i="107" s="1"/>
  <c r="F19" i="107" a="1"/>
  <c r="F19" i="107" s="1"/>
  <c r="E19" i="107" a="1"/>
  <c r="E19" i="107" s="1"/>
  <c r="D19" i="107" a="1"/>
  <c r="D19" i="107" s="1"/>
  <c r="L18" i="107" a="1"/>
  <c r="L18" i="107" s="1"/>
  <c r="K18" i="107" a="1"/>
  <c r="K18" i="107" s="1"/>
  <c r="J18" i="107" a="1"/>
  <c r="J18" i="107" s="1"/>
  <c r="I18" i="107" a="1"/>
  <c r="I18" i="107" s="1"/>
  <c r="H18" i="107" a="1"/>
  <c r="H18" i="107" s="1"/>
  <c r="G18" i="107" a="1"/>
  <c r="G18" i="107" s="1"/>
  <c r="F18" i="107" a="1"/>
  <c r="F18" i="107" s="1"/>
  <c r="E18" i="107" a="1"/>
  <c r="E18" i="107" s="1"/>
  <c r="D18" i="107" a="1"/>
  <c r="D18" i="107" s="1"/>
  <c r="L17" i="107" a="1"/>
  <c r="L17" i="107" s="1"/>
  <c r="K17" i="107" a="1"/>
  <c r="K17" i="107" s="1"/>
  <c r="J17" i="107" a="1"/>
  <c r="J17" i="107" s="1"/>
  <c r="I17" i="107" a="1"/>
  <c r="I17" i="107" s="1"/>
  <c r="H17" i="107" a="1"/>
  <c r="H17" i="107" s="1"/>
  <c r="G17" i="107" a="1"/>
  <c r="G17" i="107" s="1"/>
  <c r="F17" i="107" a="1"/>
  <c r="F17" i="107" s="1"/>
  <c r="E17" i="107" a="1"/>
  <c r="E17" i="107" s="1"/>
  <c r="D17" i="107" a="1"/>
  <c r="D17" i="107" s="1"/>
  <c r="L16" i="107" a="1"/>
  <c r="L16" i="107" s="1"/>
  <c r="K16" i="107" a="1"/>
  <c r="K16" i="107" s="1"/>
  <c r="J16" i="107" a="1"/>
  <c r="J16" i="107" s="1"/>
  <c r="I16" i="107" a="1"/>
  <c r="I16" i="107" s="1"/>
  <c r="H16" i="107" a="1"/>
  <c r="H16" i="107" s="1"/>
  <c r="G16" i="107" a="1"/>
  <c r="G16" i="107" s="1"/>
  <c r="F16" i="107" a="1"/>
  <c r="F16" i="107" s="1"/>
  <c r="E16" i="107" a="1"/>
  <c r="E16" i="107" s="1"/>
  <c r="D16" i="107" a="1"/>
  <c r="D16" i="107" s="1"/>
  <c r="L15" i="107" a="1"/>
  <c r="L15" i="107" s="1"/>
  <c r="K15" i="107" a="1"/>
  <c r="K15" i="107" s="1"/>
  <c r="J15" i="107" a="1"/>
  <c r="J15" i="107" s="1"/>
  <c r="I15" i="107" a="1"/>
  <c r="I15" i="107" s="1"/>
  <c r="H15" i="107" a="1"/>
  <c r="H15" i="107" s="1"/>
  <c r="G15" i="107" a="1"/>
  <c r="G15" i="107" s="1"/>
  <c r="F15" i="107" a="1"/>
  <c r="F15" i="107" s="1"/>
  <c r="E15" i="107" a="1"/>
  <c r="E15" i="107" s="1"/>
  <c r="D15" i="107" a="1"/>
  <c r="D15" i="107" s="1"/>
  <c r="L14" i="107" a="1"/>
  <c r="L14" i="107" s="1"/>
  <c r="K14" i="107" a="1"/>
  <c r="K14" i="107" s="1"/>
  <c r="J14" i="107" a="1"/>
  <c r="J14" i="107" s="1"/>
  <c r="I14" i="107" a="1"/>
  <c r="I14" i="107" s="1"/>
  <c r="H14" i="107" a="1"/>
  <c r="H14" i="107" s="1"/>
  <c r="G14" i="107" a="1"/>
  <c r="G14" i="107" s="1"/>
  <c r="F14" i="107" a="1"/>
  <c r="F14" i="107" s="1"/>
  <c r="E14" i="107" a="1"/>
  <c r="E14" i="107" s="1"/>
  <c r="D14" i="107" a="1"/>
  <c r="D14" i="107" s="1"/>
  <c r="L13" i="107" a="1"/>
  <c r="L13" i="107" s="1"/>
  <c r="K13" i="107" a="1"/>
  <c r="K13" i="107" s="1"/>
  <c r="J13" i="107" a="1"/>
  <c r="J13" i="107" s="1"/>
  <c r="I13" i="107" a="1"/>
  <c r="I13" i="107" s="1"/>
  <c r="H13" i="107" a="1"/>
  <c r="H13" i="107" s="1"/>
  <c r="G13" i="107" a="1"/>
  <c r="G13" i="107" s="1"/>
  <c r="F13" i="107" a="1"/>
  <c r="F13" i="107" s="1"/>
  <c r="E13" i="107" a="1"/>
  <c r="E13" i="107" s="1"/>
  <c r="D13" i="107" a="1"/>
  <c r="D13" i="107" s="1"/>
  <c r="L12" i="107" a="1"/>
  <c r="L12" i="107" s="1"/>
  <c r="K12" i="107" a="1"/>
  <c r="K12" i="107" s="1"/>
  <c r="J12" i="107" a="1"/>
  <c r="J12" i="107" s="1"/>
  <c r="I12" i="107" a="1"/>
  <c r="I12" i="107" s="1"/>
  <c r="H12" i="107" a="1"/>
  <c r="H12" i="107" s="1"/>
  <c r="G12" i="107" a="1"/>
  <c r="G12" i="107" s="1"/>
  <c r="F12" i="107" a="1"/>
  <c r="F12" i="107" s="1"/>
  <c r="E12" i="107" a="1"/>
  <c r="E12" i="107" s="1"/>
  <c r="D12" i="107" a="1"/>
  <c r="D12" i="107" s="1"/>
  <c r="L11" i="107" a="1"/>
  <c r="L11" i="107" s="1"/>
  <c r="K11" i="107" a="1"/>
  <c r="K11" i="107" s="1"/>
  <c r="J11" i="107" a="1"/>
  <c r="J11" i="107" s="1"/>
  <c r="I11" i="107" a="1"/>
  <c r="I11" i="107" s="1"/>
  <c r="H11" i="107" a="1"/>
  <c r="H11" i="107" s="1"/>
  <c r="G11" i="107" a="1"/>
  <c r="G11" i="107" s="1"/>
  <c r="F11" i="107" a="1"/>
  <c r="F11" i="107" s="1"/>
  <c r="E11" i="107" a="1"/>
  <c r="E11" i="107" s="1"/>
  <c r="D11" i="107" a="1"/>
  <c r="D11" i="107" s="1"/>
  <c r="L10" i="107" a="1"/>
  <c r="L10" i="107" s="1"/>
  <c r="K10" i="107" a="1"/>
  <c r="K10" i="107" s="1"/>
  <c r="J10" i="107" a="1"/>
  <c r="J10" i="107" s="1"/>
  <c r="I10" i="107" a="1"/>
  <c r="I10" i="107" s="1"/>
  <c r="H10" i="107" a="1"/>
  <c r="H10" i="107" s="1"/>
  <c r="G10" i="107" a="1"/>
  <c r="G10" i="107" s="1"/>
  <c r="F10" i="107" a="1"/>
  <c r="F10" i="107" s="1"/>
  <c r="E10" i="107" a="1"/>
  <c r="E10" i="107" s="1"/>
  <c r="D10" i="107" a="1"/>
  <c r="D10" i="107" s="1"/>
  <c r="D8" i="107" a="1"/>
  <c r="D8" i="107" s="1"/>
  <c r="D7" i="107" a="1"/>
  <c r="D7" i="107" s="1"/>
  <c r="D6" i="107" a="1"/>
  <c r="D6" i="107" s="1"/>
  <c r="D5" i="107" a="1"/>
  <c r="D5" i="107" s="1"/>
  <c r="D40" i="106"/>
  <c r="D38" i="106"/>
  <c r="D37" i="106"/>
  <c r="D35" i="106"/>
  <c r="D36" i="106"/>
  <c r="D29" i="106"/>
  <c r="P18" i="106"/>
  <c r="P17" i="106"/>
  <c r="K39" i="106" s="1" a="1"/>
  <c r="K39" i="106" s="1"/>
  <c r="P16" i="106" a="1"/>
  <c r="P16" i="106" s="1"/>
  <c r="I16" i="106" a="1"/>
  <c r="I16" i="106" s="1"/>
  <c r="P15" i="106" a="1"/>
  <c r="P15" i="106" s="1"/>
  <c r="I15" i="106" a="1"/>
  <c r="I15" i="106" s="1"/>
  <c r="P14" i="106" a="1"/>
  <c r="P14" i="106" s="1"/>
  <c r="N14" i="106" a="1"/>
  <c r="N14" i="106" s="1"/>
  <c r="K14" i="106" a="1"/>
  <c r="K14" i="106" s="1"/>
  <c r="I14" i="106" a="1"/>
  <c r="I14" i="106" s="1"/>
  <c r="G14" i="106" a="1"/>
  <c r="G14" i="106" s="1"/>
  <c r="D14" i="106" a="1"/>
  <c r="D14" i="106" s="1"/>
  <c r="L12" i="106" a="1"/>
  <c r="L12" i="106" s="1"/>
  <c r="E12" i="106" a="1"/>
  <c r="E12" i="106" s="1"/>
  <c r="L11" i="106" a="1"/>
  <c r="L11" i="106" s="1"/>
  <c r="E11" i="106" a="1"/>
  <c r="E11" i="106" s="1"/>
  <c r="K7" i="106" a="1"/>
  <c r="K7" i="106" s="1"/>
  <c r="K6" i="106" a="1"/>
  <c r="K6" i="106" s="1"/>
  <c r="D6" i="106" a="1"/>
  <c r="D6" i="106" s="1"/>
  <c r="K5" i="106" a="1"/>
  <c r="K5" i="106" s="1"/>
  <c r="D5" i="106" a="1"/>
  <c r="D5" i="106" s="1"/>
  <c r="D39" i="105"/>
  <c r="D38" i="105"/>
  <c r="D60" i="105"/>
  <c r="D35" i="105"/>
  <c r="D29" i="105"/>
  <c r="D42" i="105"/>
  <c r="P16" i="105" a="1"/>
  <c r="P16" i="105" s="1"/>
  <c r="I16" i="105" a="1"/>
  <c r="I16" i="105" s="1"/>
  <c r="P15" i="105" a="1"/>
  <c r="P15" i="105" s="1"/>
  <c r="I15" i="105" a="1"/>
  <c r="I15" i="105" s="1"/>
  <c r="P14" i="105" a="1"/>
  <c r="P14" i="105" s="1"/>
  <c r="N14" i="105" a="1"/>
  <c r="N14" i="105" s="1"/>
  <c r="K14" i="105" a="1"/>
  <c r="K14" i="105" s="1"/>
  <c r="I14" i="105" a="1"/>
  <c r="I14" i="105" s="1"/>
  <c r="G14" i="105" a="1"/>
  <c r="G14" i="105" s="1"/>
  <c r="D14" i="105" a="1"/>
  <c r="D14" i="105" s="1"/>
  <c r="L12" i="105" a="1"/>
  <c r="L12" i="105" s="1"/>
  <c r="E12" i="105" a="1"/>
  <c r="E12" i="105" s="1"/>
  <c r="L11" i="105" a="1"/>
  <c r="L11" i="105" s="1"/>
  <c r="E11" i="105" a="1"/>
  <c r="E11" i="105" s="1"/>
  <c r="K6" i="105" a="1"/>
  <c r="K6" i="105" s="1"/>
  <c r="D6" i="105" a="1"/>
  <c r="D6" i="105" s="1"/>
  <c r="K5" i="105" a="1"/>
  <c r="K5" i="105" s="1"/>
  <c r="D5" i="105" a="1"/>
  <c r="D5" i="105" s="1"/>
  <c r="H21" i="104"/>
  <c r="H20" i="104"/>
  <c r="H19" i="104"/>
  <c r="H18" i="104"/>
  <c r="H17" i="104"/>
  <c r="H25" i="103" a="1"/>
  <c r="H25" i="103" s="1"/>
  <c r="G25" i="103" a="1"/>
  <c r="G25" i="103" s="1"/>
  <c r="F25" i="103" a="1"/>
  <c r="F25" i="103" s="1"/>
  <c r="E25" i="103" a="1"/>
  <c r="E25" i="103" s="1"/>
  <c r="D25" i="103" a="1"/>
  <c r="D25" i="103" s="1"/>
  <c r="D22" i="103" a="1"/>
  <c r="D22" i="103" s="1"/>
  <c r="D21" i="103" a="1"/>
  <c r="D21" i="103" s="1"/>
  <c r="F19" i="103" a="1"/>
  <c r="F19" i="103" s="1"/>
  <c r="E19" i="103" a="1"/>
  <c r="E19" i="103" s="1"/>
  <c r="D19" i="103" a="1"/>
  <c r="D19" i="103" s="1"/>
  <c r="F18" i="103" a="1"/>
  <c r="F18" i="103" s="1"/>
  <c r="E18" i="103" a="1"/>
  <c r="E18" i="103" s="1"/>
  <c r="D18" i="103" a="1"/>
  <c r="D18" i="103" s="1"/>
  <c r="F17" i="103" a="1"/>
  <c r="F17" i="103" s="1"/>
  <c r="E17" i="103" a="1"/>
  <c r="E17" i="103" s="1"/>
  <c r="D17" i="103" a="1"/>
  <c r="D17" i="103" s="1"/>
  <c r="F16" i="103" a="1"/>
  <c r="F16" i="103" s="1"/>
  <c r="E16" i="103" a="1"/>
  <c r="E16" i="103" s="1"/>
  <c r="D16" i="103" a="1"/>
  <c r="D16" i="103" s="1"/>
  <c r="F15" i="103" a="1"/>
  <c r="F15" i="103" s="1"/>
  <c r="E15" i="103" a="1"/>
  <c r="E15" i="103" s="1"/>
  <c r="D15" i="103" a="1"/>
  <c r="D15" i="103" s="1"/>
  <c r="F14" i="103" a="1"/>
  <c r="F14" i="103" s="1"/>
  <c r="E14" i="103" a="1"/>
  <c r="E14" i="103" s="1"/>
  <c r="D14" i="103" a="1"/>
  <c r="D14" i="103" s="1"/>
  <c r="F13" i="103" a="1"/>
  <c r="F13" i="103" s="1"/>
  <c r="E13" i="103" a="1"/>
  <c r="E13" i="103" s="1"/>
  <c r="D13" i="103" a="1"/>
  <c r="D13" i="103" s="1"/>
  <c r="F12" i="103" a="1"/>
  <c r="F12" i="103" s="1"/>
  <c r="E12" i="103" a="1"/>
  <c r="E12" i="103" s="1"/>
  <c r="D12" i="103" a="1"/>
  <c r="D12" i="103" s="1"/>
  <c r="F11" i="103" a="1"/>
  <c r="F11" i="103" s="1"/>
  <c r="E11" i="103" a="1"/>
  <c r="E11" i="103" s="1"/>
  <c r="D11" i="103" a="1"/>
  <c r="D11" i="103" s="1"/>
  <c r="F10" i="103" a="1"/>
  <c r="F10" i="103" s="1"/>
  <c r="E10" i="103" a="1"/>
  <c r="E10" i="103" s="1"/>
  <c r="D10" i="103" a="1"/>
  <c r="D10" i="103" s="1"/>
  <c r="D7" i="103" a="1"/>
  <c r="D7" i="103" s="1"/>
  <c r="D6" i="103" a="1"/>
  <c r="D6" i="103" s="1"/>
  <c r="D5" i="103" a="1"/>
  <c r="D5" i="103" s="1"/>
  <c r="J37" i="102"/>
  <c r="J33" i="102" s="1"/>
  <c r="J35" i="102"/>
  <c r="J34" i="102"/>
  <c r="J32" i="102"/>
  <c r="J31" i="102"/>
  <c r="H31" i="102" a="1"/>
  <c r="H31" i="102" s="1"/>
  <c r="D31" i="102" a="1"/>
  <c r="D31" i="102" s="1"/>
  <c r="E29" i="102" a="1"/>
  <c r="E29" i="102" s="1"/>
  <c r="F39" i="102" s="1"/>
  <c r="E28" i="102" a="1"/>
  <c r="E28" i="102" s="1"/>
  <c r="D24" i="102" a="1"/>
  <c r="D24" i="102" s="1"/>
  <c r="D23" i="102" a="1"/>
  <c r="D23" i="102" s="1"/>
  <c r="D22" i="102" a="1"/>
  <c r="D22" i="102" s="1"/>
  <c r="I16" i="102"/>
  <c r="I15" i="102" s="1" a="1"/>
  <c r="I15" i="102" s="1"/>
  <c r="I14" i="102"/>
  <c r="G14" i="102" a="1"/>
  <c r="G14" i="102" s="1"/>
  <c r="D14" i="102" a="1"/>
  <c r="D14" i="102" s="1"/>
  <c r="E12" i="102" a="1"/>
  <c r="E12" i="102" s="1"/>
  <c r="F18" i="102" s="1"/>
  <c r="E11" i="102" a="1"/>
  <c r="E11" i="102" s="1"/>
  <c r="D7" i="102" a="1"/>
  <c r="D7" i="102" s="1"/>
  <c r="D6" i="102" a="1"/>
  <c r="D6" i="102" s="1"/>
  <c r="D5" i="102" a="1"/>
  <c r="D5" i="102" s="1"/>
  <c r="H48" i="101"/>
  <c r="E48" i="101"/>
  <c r="H47" i="101"/>
  <c r="E47" i="101"/>
  <c r="H46" i="101"/>
  <c r="E46" i="101"/>
  <c r="H39" i="101"/>
  <c r="H38" i="101"/>
  <c r="H37" i="101"/>
  <c r="E30" i="101"/>
  <c r="I37" i="101" s="1"/>
  <c r="E29" i="101"/>
  <c r="E16" i="101"/>
  <c r="E22" i="101" s="1"/>
  <c r="E6" i="101"/>
  <c r="AH223" i="100" a="1"/>
  <c r="AH223" i="100" s="1"/>
  <c r="AG223" i="100" a="1"/>
  <c r="AG223" i="100" s="1"/>
  <c r="AF223" i="100" a="1"/>
  <c r="AF223" i="100" s="1"/>
  <c r="AE223" i="100" a="1"/>
  <c r="AE223" i="100" s="1"/>
  <c r="AD223" i="100" a="1"/>
  <c r="AD223" i="100" s="1"/>
  <c r="AC223" i="100" a="1"/>
  <c r="AC223" i="100" s="1"/>
  <c r="AB223" i="100" a="1"/>
  <c r="AB223" i="100" s="1"/>
  <c r="AA223" i="100" a="1"/>
  <c r="AA223" i="100" s="1"/>
  <c r="Z223" i="100" a="1"/>
  <c r="Z223" i="100" s="1"/>
  <c r="Y223" i="100" a="1"/>
  <c r="Y223" i="100" s="1"/>
  <c r="X223" i="100" a="1"/>
  <c r="X223" i="100" s="1"/>
  <c r="W223" i="100" a="1"/>
  <c r="W223" i="100" s="1"/>
  <c r="V223" i="100" a="1"/>
  <c r="V223" i="100" s="1"/>
  <c r="U223" i="100" a="1"/>
  <c r="U223" i="100" s="1"/>
  <c r="T223" i="100" a="1"/>
  <c r="T223" i="100" s="1"/>
  <c r="S223" i="100" a="1"/>
  <c r="S223" i="100" s="1"/>
  <c r="R223" i="100" a="1"/>
  <c r="R223" i="100" s="1"/>
  <c r="Q223" i="100" a="1"/>
  <c r="Q223" i="100" s="1"/>
  <c r="P223" i="100" a="1"/>
  <c r="P223" i="100" s="1"/>
  <c r="O223" i="100" a="1"/>
  <c r="O223" i="100" s="1"/>
  <c r="N223" i="100" a="1"/>
  <c r="N223" i="100" s="1"/>
  <c r="M223" i="100" a="1"/>
  <c r="M223" i="100" s="1"/>
  <c r="L223" i="100" a="1"/>
  <c r="L223" i="100" s="1"/>
  <c r="K223" i="100" a="1"/>
  <c r="K223" i="100" s="1"/>
  <c r="J223" i="100" a="1"/>
  <c r="J223" i="100" s="1"/>
  <c r="I223" i="100" a="1"/>
  <c r="I223" i="100" s="1"/>
  <c r="H223" i="100" a="1"/>
  <c r="H223" i="100" s="1"/>
  <c r="G223" i="100" a="1"/>
  <c r="G223" i="100" s="1"/>
  <c r="F223" i="100" a="1"/>
  <c r="F223" i="100" s="1"/>
  <c r="E223" i="100" a="1"/>
  <c r="E223" i="100" s="1"/>
  <c r="D223" i="100" a="1"/>
  <c r="D223" i="100" s="1"/>
  <c r="AH222" i="100" a="1"/>
  <c r="AH222" i="100" s="1"/>
  <c r="AG222" i="100" a="1"/>
  <c r="AG222" i="100" s="1"/>
  <c r="AF222" i="100" a="1"/>
  <c r="AF222" i="100" s="1"/>
  <c r="AE222" i="100" a="1"/>
  <c r="AE222" i="100" s="1"/>
  <c r="AD222" i="100" a="1"/>
  <c r="AD222" i="100" s="1"/>
  <c r="AC222" i="100" a="1"/>
  <c r="AC222" i="100" s="1"/>
  <c r="AB222" i="100" a="1"/>
  <c r="AB222" i="100" s="1"/>
  <c r="AA222" i="100" a="1"/>
  <c r="AA222" i="100" s="1"/>
  <c r="Z222" i="100" a="1"/>
  <c r="Z222" i="100" s="1"/>
  <c r="Y222" i="100" a="1"/>
  <c r="Y222" i="100" s="1"/>
  <c r="X222" i="100" a="1"/>
  <c r="X222" i="100" s="1"/>
  <c r="W222" i="100" a="1"/>
  <c r="W222" i="100" s="1"/>
  <c r="V222" i="100" a="1"/>
  <c r="V222" i="100" s="1"/>
  <c r="U222" i="100" a="1"/>
  <c r="U222" i="100" s="1"/>
  <c r="T222" i="100" a="1"/>
  <c r="T222" i="100" s="1"/>
  <c r="S222" i="100" a="1"/>
  <c r="S222" i="100" s="1"/>
  <c r="R222" i="100" a="1"/>
  <c r="R222" i="100" s="1"/>
  <c r="Q222" i="100" a="1"/>
  <c r="Q222" i="100" s="1"/>
  <c r="P222" i="100" a="1"/>
  <c r="P222" i="100" s="1"/>
  <c r="O222" i="100" a="1"/>
  <c r="O222" i="100" s="1"/>
  <c r="N222" i="100" a="1"/>
  <c r="N222" i="100" s="1"/>
  <c r="M222" i="100" a="1"/>
  <c r="M222" i="100" s="1"/>
  <c r="L222" i="100" a="1"/>
  <c r="L222" i="100" s="1"/>
  <c r="K222" i="100" a="1"/>
  <c r="K222" i="100" s="1"/>
  <c r="J222" i="100" a="1"/>
  <c r="J222" i="100" s="1"/>
  <c r="I222" i="100" a="1"/>
  <c r="I222" i="100" s="1"/>
  <c r="H222" i="100" a="1"/>
  <c r="H222" i="100" s="1"/>
  <c r="G222" i="100" a="1"/>
  <c r="G222" i="100" s="1"/>
  <c r="F222" i="100" a="1"/>
  <c r="F222" i="100" s="1"/>
  <c r="E222" i="100" a="1"/>
  <c r="E222" i="100" s="1"/>
  <c r="D222" i="100" a="1"/>
  <c r="D222" i="100" s="1"/>
  <c r="AH221" i="100" a="1"/>
  <c r="AH221" i="100" s="1"/>
  <c r="AG221" i="100" a="1"/>
  <c r="AG221" i="100" s="1"/>
  <c r="AF221" i="100" a="1"/>
  <c r="AF221" i="100" s="1"/>
  <c r="AE221" i="100" a="1"/>
  <c r="AE221" i="100" s="1"/>
  <c r="AD221" i="100" a="1"/>
  <c r="AD221" i="100" s="1"/>
  <c r="AC221" i="100" a="1"/>
  <c r="AC221" i="100" s="1"/>
  <c r="AB221" i="100" a="1"/>
  <c r="AB221" i="100" s="1"/>
  <c r="AA221" i="100" a="1"/>
  <c r="AA221" i="100" s="1"/>
  <c r="Z221" i="100" a="1"/>
  <c r="Z221" i="100" s="1"/>
  <c r="Y221" i="100" a="1"/>
  <c r="Y221" i="100" s="1"/>
  <c r="X221" i="100" a="1"/>
  <c r="X221" i="100" s="1"/>
  <c r="W221" i="100" a="1"/>
  <c r="W221" i="100" s="1"/>
  <c r="V221" i="100" a="1"/>
  <c r="V221" i="100" s="1"/>
  <c r="U221" i="100" a="1"/>
  <c r="U221" i="100" s="1"/>
  <c r="T221" i="100" a="1"/>
  <c r="T221" i="100" s="1"/>
  <c r="S221" i="100" a="1"/>
  <c r="S221" i="100" s="1"/>
  <c r="R221" i="100" a="1"/>
  <c r="R221" i="100" s="1"/>
  <c r="Q221" i="100" a="1"/>
  <c r="Q221" i="100" s="1"/>
  <c r="P221" i="100" a="1"/>
  <c r="P221" i="100" s="1"/>
  <c r="O221" i="100" a="1"/>
  <c r="O221" i="100" s="1"/>
  <c r="N221" i="100" a="1"/>
  <c r="N221" i="100" s="1"/>
  <c r="M221" i="100" a="1"/>
  <c r="M221" i="100" s="1"/>
  <c r="L221" i="100" a="1"/>
  <c r="L221" i="100" s="1"/>
  <c r="K221" i="100" a="1"/>
  <c r="K221" i="100" s="1"/>
  <c r="J221" i="100" a="1"/>
  <c r="J221" i="100" s="1"/>
  <c r="I221" i="100" a="1"/>
  <c r="I221" i="100" s="1"/>
  <c r="H221" i="100" a="1"/>
  <c r="H221" i="100" s="1"/>
  <c r="G221" i="100" a="1"/>
  <c r="G221" i="100" s="1"/>
  <c r="F221" i="100" a="1"/>
  <c r="F221" i="100" s="1"/>
  <c r="E221" i="100" a="1"/>
  <c r="E221" i="100" s="1"/>
  <c r="D221" i="100" a="1"/>
  <c r="D221" i="100" s="1"/>
  <c r="AH220" i="100" a="1"/>
  <c r="AH220" i="100" s="1"/>
  <c r="AG220" i="100" a="1"/>
  <c r="AG220" i="100" s="1"/>
  <c r="AF220" i="100" a="1"/>
  <c r="AF220" i="100" s="1"/>
  <c r="AE220" i="100" a="1"/>
  <c r="AE220" i="100" s="1"/>
  <c r="AD220" i="100" a="1"/>
  <c r="AD220" i="100" s="1"/>
  <c r="AC220" i="100" a="1"/>
  <c r="AC220" i="100" s="1"/>
  <c r="AB220" i="100" a="1"/>
  <c r="AB220" i="100" s="1"/>
  <c r="AA220" i="100" a="1"/>
  <c r="AA220" i="100" s="1"/>
  <c r="Z220" i="100" a="1"/>
  <c r="Z220" i="100" s="1"/>
  <c r="Y220" i="100" a="1"/>
  <c r="Y220" i="100" s="1"/>
  <c r="X220" i="100" a="1"/>
  <c r="X220" i="100" s="1"/>
  <c r="W220" i="100" a="1"/>
  <c r="W220" i="100" s="1"/>
  <c r="V220" i="100" a="1"/>
  <c r="V220" i="100" s="1"/>
  <c r="U220" i="100" a="1"/>
  <c r="U220" i="100" s="1"/>
  <c r="T220" i="100" a="1"/>
  <c r="T220" i="100" s="1"/>
  <c r="S220" i="100" a="1"/>
  <c r="S220" i="100" s="1"/>
  <c r="R220" i="100" a="1"/>
  <c r="R220" i="100" s="1"/>
  <c r="Q220" i="100" a="1"/>
  <c r="Q220" i="100" s="1"/>
  <c r="P220" i="100" a="1"/>
  <c r="P220" i="100" s="1"/>
  <c r="O220" i="100" a="1"/>
  <c r="O220" i="100" s="1"/>
  <c r="N220" i="100" a="1"/>
  <c r="N220" i="100" s="1"/>
  <c r="M220" i="100" a="1"/>
  <c r="M220" i="100" s="1"/>
  <c r="L220" i="100" a="1"/>
  <c r="L220" i="100" s="1"/>
  <c r="K220" i="100" a="1"/>
  <c r="K220" i="100" s="1"/>
  <c r="J220" i="100" a="1"/>
  <c r="J220" i="100" s="1"/>
  <c r="I220" i="100" a="1"/>
  <c r="I220" i="100" s="1"/>
  <c r="H220" i="100" a="1"/>
  <c r="H220" i="100" s="1"/>
  <c r="G220" i="100" a="1"/>
  <c r="G220" i="100" s="1"/>
  <c r="F220" i="100" a="1"/>
  <c r="F220" i="100" s="1"/>
  <c r="E220" i="100" a="1"/>
  <c r="E220" i="100" s="1"/>
  <c r="D220" i="100" a="1"/>
  <c r="D220" i="100" s="1"/>
  <c r="AH219" i="100" a="1"/>
  <c r="AH219" i="100" s="1"/>
  <c r="AG219" i="100" a="1"/>
  <c r="AG219" i="100" s="1"/>
  <c r="AF219" i="100" a="1"/>
  <c r="AF219" i="100" s="1"/>
  <c r="AE219" i="100" a="1"/>
  <c r="AE219" i="100" s="1"/>
  <c r="AD219" i="100" a="1"/>
  <c r="AD219" i="100" s="1"/>
  <c r="AC219" i="100" a="1"/>
  <c r="AC219" i="100" s="1"/>
  <c r="AB219" i="100" a="1"/>
  <c r="AB219" i="100" s="1"/>
  <c r="AA219" i="100" a="1"/>
  <c r="AA219" i="100" s="1"/>
  <c r="Z219" i="100" a="1"/>
  <c r="Z219" i="100" s="1"/>
  <c r="Y219" i="100" a="1"/>
  <c r="Y219" i="100" s="1"/>
  <c r="X219" i="100" a="1"/>
  <c r="X219" i="100" s="1"/>
  <c r="W219" i="100" a="1"/>
  <c r="W219" i="100" s="1"/>
  <c r="V219" i="100" a="1"/>
  <c r="V219" i="100" s="1"/>
  <c r="U219" i="100" a="1"/>
  <c r="U219" i="100" s="1"/>
  <c r="T219" i="100" a="1"/>
  <c r="T219" i="100" s="1"/>
  <c r="S219" i="100" a="1"/>
  <c r="S219" i="100" s="1"/>
  <c r="R219" i="100" a="1"/>
  <c r="R219" i="100" s="1"/>
  <c r="Q219" i="100" a="1"/>
  <c r="Q219" i="100" s="1"/>
  <c r="P219" i="100" a="1"/>
  <c r="P219" i="100" s="1"/>
  <c r="O219" i="100" a="1"/>
  <c r="O219" i="100" s="1"/>
  <c r="N219" i="100" a="1"/>
  <c r="N219" i="100" s="1"/>
  <c r="M219" i="100" a="1"/>
  <c r="M219" i="100" s="1"/>
  <c r="L219" i="100" a="1"/>
  <c r="L219" i="100" s="1"/>
  <c r="K219" i="100" a="1"/>
  <c r="K219" i="100" s="1"/>
  <c r="J219" i="100" a="1"/>
  <c r="J219" i="100" s="1"/>
  <c r="I219" i="100" a="1"/>
  <c r="I219" i="100" s="1"/>
  <c r="H219" i="100" a="1"/>
  <c r="H219" i="100" s="1"/>
  <c r="G219" i="100" a="1"/>
  <c r="G219" i="100" s="1"/>
  <c r="F219" i="100" a="1"/>
  <c r="F219" i="100" s="1"/>
  <c r="E219" i="100" a="1"/>
  <c r="E219" i="100" s="1"/>
  <c r="D219" i="100" a="1"/>
  <c r="D219" i="100" s="1"/>
  <c r="AH218" i="100" a="1"/>
  <c r="AH218" i="100" s="1"/>
  <c r="AG218" i="100" a="1"/>
  <c r="AG218" i="100" s="1"/>
  <c r="AF218" i="100" a="1"/>
  <c r="AF218" i="100" s="1"/>
  <c r="AE218" i="100" a="1"/>
  <c r="AE218" i="100" s="1"/>
  <c r="AD218" i="100" a="1"/>
  <c r="AD218" i="100" s="1"/>
  <c r="AC218" i="100" a="1"/>
  <c r="AC218" i="100" s="1"/>
  <c r="AB218" i="100" a="1"/>
  <c r="AB218" i="100" s="1"/>
  <c r="AA218" i="100" a="1"/>
  <c r="AA218" i="100" s="1"/>
  <c r="Z218" i="100" a="1"/>
  <c r="Z218" i="100" s="1"/>
  <c r="Y218" i="100" a="1"/>
  <c r="Y218" i="100" s="1"/>
  <c r="X218" i="100" a="1"/>
  <c r="X218" i="100" s="1"/>
  <c r="W218" i="100" a="1"/>
  <c r="W218" i="100" s="1"/>
  <c r="V218" i="100" a="1"/>
  <c r="V218" i="100" s="1"/>
  <c r="U218" i="100" a="1"/>
  <c r="U218" i="100" s="1"/>
  <c r="T218" i="100" a="1"/>
  <c r="T218" i="100" s="1"/>
  <c r="S218" i="100" a="1"/>
  <c r="S218" i="100" s="1"/>
  <c r="R218" i="100" a="1"/>
  <c r="R218" i="100" s="1"/>
  <c r="Q218" i="100" a="1"/>
  <c r="Q218" i="100" s="1"/>
  <c r="P218" i="100" a="1"/>
  <c r="P218" i="100" s="1"/>
  <c r="O218" i="100" a="1"/>
  <c r="O218" i="100" s="1"/>
  <c r="N218" i="100" a="1"/>
  <c r="N218" i="100" s="1"/>
  <c r="M218" i="100" a="1"/>
  <c r="M218" i="100" s="1"/>
  <c r="L218" i="100" a="1"/>
  <c r="L218" i="100" s="1"/>
  <c r="K218" i="100" a="1"/>
  <c r="K218" i="100" s="1"/>
  <c r="J218" i="100" a="1"/>
  <c r="J218" i="100" s="1"/>
  <c r="I218" i="100" a="1"/>
  <c r="I218" i="100" s="1"/>
  <c r="H218" i="100" a="1"/>
  <c r="H218" i="100" s="1"/>
  <c r="G218" i="100" a="1"/>
  <c r="G218" i="100" s="1"/>
  <c r="F218" i="100" a="1"/>
  <c r="F218" i="100" s="1"/>
  <c r="E218" i="100" a="1"/>
  <c r="E218" i="100" s="1"/>
  <c r="D218" i="100" a="1"/>
  <c r="D218" i="100" s="1"/>
  <c r="AH217" i="100" a="1"/>
  <c r="AH217" i="100" s="1"/>
  <c r="AG217" i="100" a="1"/>
  <c r="AG217" i="100" s="1"/>
  <c r="AF217" i="100" a="1"/>
  <c r="AF217" i="100" s="1"/>
  <c r="AE217" i="100" a="1"/>
  <c r="AE217" i="100" s="1"/>
  <c r="AD217" i="100" a="1"/>
  <c r="AD217" i="100" s="1"/>
  <c r="AC217" i="100" a="1"/>
  <c r="AC217" i="100" s="1"/>
  <c r="AB217" i="100" a="1"/>
  <c r="AB217" i="100" s="1"/>
  <c r="AA217" i="100" a="1"/>
  <c r="AA217" i="100" s="1"/>
  <c r="Z217" i="100" a="1"/>
  <c r="Z217" i="100" s="1"/>
  <c r="Y217" i="100" a="1"/>
  <c r="Y217" i="100" s="1"/>
  <c r="X217" i="100" a="1"/>
  <c r="X217" i="100" s="1"/>
  <c r="W217" i="100" a="1"/>
  <c r="W217" i="100" s="1"/>
  <c r="V217" i="100" a="1"/>
  <c r="V217" i="100" s="1"/>
  <c r="U217" i="100" a="1"/>
  <c r="U217" i="100" s="1"/>
  <c r="T217" i="100" a="1"/>
  <c r="T217" i="100" s="1"/>
  <c r="S217" i="100" a="1"/>
  <c r="S217" i="100" s="1"/>
  <c r="R217" i="100" a="1"/>
  <c r="R217" i="100" s="1"/>
  <c r="Q217" i="100" a="1"/>
  <c r="Q217" i="100" s="1"/>
  <c r="P217" i="100" a="1"/>
  <c r="P217" i="100" s="1"/>
  <c r="O217" i="100" a="1"/>
  <c r="O217" i="100" s="1"/>
  <c r="N217" i="100" a="1"/>
  <c r="N217" i="100" s="1"/>
  <c r="M217" i="100" a="1"/>
  <c r="M217" i="100" s="1"/>
  <c r="L217" i="100" a="1"/>
  <c r="L217" i="100" s="1"/>
  <c r="K217" i="100" a="1"/>
  <c r="K217" i="100" s="1"/>
  <c r="J217" i="100" a="1"/>
  <c r="J217" i="100" s="1"/>
  <c r="I217" i="100" a="1"/>
  <c r="I217" i="100" s="1"/>
  <c r="H217" i="100" a="1"/>
  <c r="H217" i="100" s="1"/>
  <c r="G217" i="100" a="1"/>
  <c r="G217" i="100" s="1"/>
  <c r="F217" i="100" a="1"/>
  <c r="F217" i="100" s="1"/>
  <c r="E217" i="100" a="1"/>
  <c r="E217" i="100" s="1"/>
  <c r="D217" i="100" a="1"/>
  <c r="D217" i="100" s="1"/>
  <c r="AH216" i="100" a="1"/>
  <c r="AH216" i="100" s="1"/>
  <c r="AG216" i="100" a="1"/>
  <c r="AG216" i="100" s="1"/>
  <c r="AF216" i="100" a="1"/>
  <c r="AF216" i="100" s="1"/>
  <c r="AE216" i="100" a="1"/>
  <c r="AE216" i="100" s="1"/>
  <c r="AD216" i="100" a="1"/>
  <c r="AD216" i="100" s="1"/>
  <c r="AC216" i="100" a="1"/>
  <c r="AC216" i="100" s="1"/>
  <c r="AB216" i="100" a="1"/>
  <c r="AB216" i="100" s="1"/>
  <c r="AA216" i="100" a="1"/>
  <c r="AA216" i="100" s="1"/>
  <c r="Z216" i="100" a="1"/>
  <c r="Z216" i="100" s="1"/>
  <c r="Y216" i="100" a="1"/>
  <c r="Y216" i="100" s="1"/>
  <c r="X216" i="100" a="1"/>
  <c r="X216" i="100" s="1"/>
  <c r="W216" i="100" a="1"/>
  <c r="W216" i="100" s="1"/>
  <c r="V216" i="100" a="1"/>
  <c r="V216" i="100" s="1"/>
  <c r="U216" i="100" a="1"/>
  <c r="U216" i="100" s="1"/>
  <c r="T216" i="100" a="1"/>
  <c r="T216" i="100" s="1"/>
  <c r="S216" i="100" a="1"/>
  <c r="S216" i="100" s="1"/>
  <c r="R216" i="100" a="1"/>
  <c r="R216" i="100" s="1"/>
  <c r="Q216" i="100" a="1"/>
  <c r="Q216" i="100" s="1"/>
  <c r="P216" i="100" a="1"/>
  <c r="P216" i="100" s="1"/>
  <c r="O216" i="100" a="1"/>
  <c r="O216" i="100" s="1"/>
  <c r="N216" i="100" a="1"/>
  <c r="N216" i="100" s="1"/>
  <c r="M216" i="100" a="1"/>
  <c r="M216" i="100" s="1"/>
  <c r="L216" i="100" a="1"/>
  <c r="L216" i="100" s="1"/>
  <c r="K216" i="100" a="1"/>
  <c r="K216" i="100" s="1"/>
  <c r="J216" i="100" a="1"/>
  <c r="J216" i="100" s="1"/>
  <c r="I216" i="100" a="1"/>
  <c r="I216" i="100" s="1"/>
  <c r="H216" i="100" a="1"/>
  <c r="H216" i="100" s="1"/>
  <c r="G216" i="100" a="1"/>
  <c r="G216" i="100" s="1"/>
  <c r="F216" i="100" a="1"/>
  <c r="F216" i="100" s="1"/>
  <c r="E216" i="100" a="1"/>
  <c r="E216" i="100" s="1"/>
  <c r="D216" i="100" a="1"/>
  <c r="D216" i="100" s="1"/>
  <c r="AH215" i="100" a="1"/>
  <c r="AH215" i="100" s="1"/>
  <c r="AG215" i="100" a="1"/>
  <c r="AG215" i="100" s="1"/>
  <c r="AF215" i="100" a="1"/>
  <c r="AF215" i="100" s="1"/>
  <c r="AE215" i="100" a="1"/>
  <c r="AE215" i="100" s="1"/>
  <c r="AD215" i="100" a="1"/>
  <c r="AD215" i="100" s="1"/>
  <c r="AC215" i="100" a="1"/>
  <c r="AC215" i="100" s="1"/>
  <c r="AB215" i="100" a="1"/>
  <c r="AB215" i="100" s="1"/>
  <c r="AA215" i="100" a="1"/>
  <c r="AA215" i="100" s="1"/>
  <c r="Z215" i="100" a="1"/>
  <c r="Z215" i="100" s="1"/>
  <c r="Y215" i="100" a="1"/>
  <c r="Y215" i="100" s="1"/>
  <c r="X215" i="100" a="1"/>
  <c r="X215" i="100" s="1"/>
  <c r="W215" i="100" a="1"/>
  <c r="W215" i="100" s="1"/>
  <c r="V215" i="100" a="1"/>
  <c r="V215" i="100" s="1"/>
  <c r="U215" i="100" a="1"/>
  <c r="U215" i="100" s="1"/>
  <c r="T215" i="100" a="1"/>
  <c r="T215" i="100" s="1"/>
  <c r="S215" i="100" a="1"/>
  <c r="S215" i="100" s="1"/>
  <c r="R215" i="100" a="1"/>
  <c r="R215" i="100" s="1"/>
  <c r="Q215" i="100" a="1"/>
  <c r="Q215" i="100" s="1"/>
  <c r="P215" i="100" a="1"/>
  <c r="P215" i="100" s="1"/>
  <c r="O215" i="100" a="1"/>
  <c r="O215" i="100" s="1"/>
  <c r="N215" i="100" a="1"/>
  <c r="N215" i="100" s="1"/>
  <c r="M215" i="100" a="1"/>
  <c r="M215" i="100" s="1"/>
  <c r="L215" i="100" a="1"/>
  <c r="L215" i="100" s="1"/>
  <c r="K215" i="100" a="1"/>
  <c r="K215" i="100" s="1"/>
  <c r="J215" i="100" a="1"/>
  <c r="J215" i="100" s="1"/>
  <c r="I215" i="100" a="1"/>
  <c r="I215" i="100" s="1"/>
  <c r="H215" i="100" a="1"/>
  <c r="H215" i="100" s="1"/>
  <c r="G215" i="100" a="1"/>
  <c r="G215" i="100" s="1"/>
  <c r="F215" i="100" a="1"/>
  <c r="F215" i="100" s="1"/>
  <c r="E215" i="100" a="1"/>
  <c r="E215" i="100" s="1"/>
  <c r="D215" i="100" a="1"/>
  <c r="D215" i="100" s="1"/>
  <c r="AH214" i="100" a="1"/>
  <c r="AH214" i="100" s="1"/>
  <c r="AG214" i="100" a="1"/>
  <c r="AG214" i="100" s="1"/>
  <c r="AF214" i="100" a="1"/>
  <c r="AF214" i="100" s="1"/>
  <c r="AE214" i="100" a="1"/>
  <c r="AE214" i="100" s="1"/>
  <c r="AD214" i="100" a="1"/>
  <c r="AD214" i="100" s="1"/>
  <c r="AC214" i="100" a="1"/>
  <c r="AC214" i="100" s="1"/>
  <c r="AB214" i="100" a="1"/>
  <c r="AB214" i="100" s="1"/>
  <c r="AA214" i="100" a="1"/>
  <c r="AA214" i="100" s="1"/>
  <c r="Z214" i="100" a="1"/>
  <c r="Z214" i="100" s="1"/>
  <c r="Y214" i="100" a="1"/>
  <c r="Y214" i="100" s="1"/>
  <c r="X214" i="100" a="1"/>
  <c r="X214" i="100" s="1"/>
  <c r="W214" i="100" a="1"/>
  <c r="W214" i="100" s="1"/>
  <c r="V214" i="100" a="1"/>
  <c r="V214" i="100" s="1"/>
  <c r="U214" i="100" a="1"/>
  <c r="U214" i="100" s="1"/>
  <c r="T214" i="100" a="1"/>
  <c r="T214" i="100" s="1"/>
  <c r="S214" i="100" a="1"/>
  <c r="S214" i="100" s="1"/>
  <c r="R214" i="100" a="1"/>
  <c r="R214" i="100" s="1"/>
  <c r="Q214" i="100" a="1"/>
  <c r="Q214" i="100" s="1"/>
  <c r="P214" i="100" a="1"/>
  <c r="P214" i="100" s="1"/>
  <c r="O214" i="100" a="1"/>
  <c r="O214" i="100" s="1"/>
  <c r="N214" i="100" a="1"/>
  <c r="N214" i="100" s="1"/>
  <c r="M214" i="100" a="1"/>
  <c r="M214" i="100" s="1"/>
  <c r="L214" i="100" a="1"/>
  <c r="L214" i="100" s="1"/>
  <c r="K214" i="100" a="1"/>
  <c r="K214" i="100" s="1"/>
  <c r="J214" i="100" a="1"/>
  <c r="J214" i="100" s="1"/>
  <c r="I214" i="100" a="1"/>
  <c r="I214" i="100" s="1"/>
  <c r="H214" i="100" a="1"/>
  <c r="H214" i="100" s="1"/>
  <c r="G214" i="100" a="1"/>
  <c r="G214" i="100" s="1"/>
  <c r="F214" i="100" a="1"/>
  <c r="F214" i="100" s="1"/>
  <c r="E214" i="100" a="1"/>
  <c r="E214" i="100" s="1"/>
  <c r="D214" i="100" a="1"/>
  <c r="D214" i="100" s="1"/>
  <c r="AH213" i="100" a="1"/>
  <c r="AH213" i="100" s="1"/>
  <c r="AG213" i="100" a="1"/>
  <c r="AG213" i="100" s="1"/>
  <c r="AF213" i="100" a="1"/>
  <c r="AF213" i="100" s="1"/>
  <c r="AE213" i="100" a="1"/>
  <c r="AE213" i="100" s="1"/>
  <c r="AD213" i="100" a="1"/>
  <c r="AD213" i="100" s="1"/>
  <c r="AC213" i="100" a="1"/>
  <c r="AC213" i="100" s="1"/>
  <c r="AB213" i="100" a="1"/>
  <c r="AB213" i="100" s="1"/>
  <c r="AA213" i="100" a="1"/>
  <c r="AA213" i="100" s="1"/>
  <c r="Z213" i="100" a="1"/>
  <c r="Z213" i="100" s="1"/>
  <c r="Y213" i="100" a="1"/>
  <c r="Y213" i="100" s="1"/>
  <c r="X213" i="100" a="1"/>
  <c r="X213" i="100" s="1"/>
  <c r="W213" i="100" a="1"/>
  <c r="W213" i="100" s="1"/>
  <c r="V213" i="100" a="1"/>
  <c r="V213" i="100" s="1"/>
  <c r="U213" i="100" a="1"/>
  <c r="U213" i="100" s="1"/>
  <c r="T213" i="100" a="1"/>
  <c r="T213" i="100" s="1"/>
  <c r="S213" i="100" a="1"/>
  <c r="S213" i="100" s="1"/>
  <c r="R213" i="100" a="1"/>
  <c r="R213" i="100" s="1"/>
  <c r="Q213" i="100" a="1"/>
  <c r="Q213" i="100" s="1"/>
  <c r="P213" i="100" a="1"/>
  <c r="P213" i="100" s="1"/>
  <c r="O213" i="100" a="1"/>
  <c r="O213" i="100" s="1"/>
  <c r="N213" i="100" a="1"/>
  <c r="N213" i="100" s="1"/>
  <c r="M213" i="100" a="1"/>
  <c r="M213" i="100" s="1"/>
  <c r="L213" i="100" a="1"/>
  <c r="L213" i="100" s="1"/>
  <c r="K213" i="100" a="1"/>
  <c r="K213" i="100" s="1"/>
  <c r="J213" i="100" a="1"/>
  <c r="J213" i="100" s="1"/>
  <c r="I213" i="100" a="1"/>
  <c r="I213" i="100" s="1"/>
  <c r="H213" i="100" a="1"/>
  <c r="H213" i="100" s="1"/>
  <c r="G213" i="100" a="1"/>
  <c r="G213" i="100" s="1"/>
  <c r="F213" i="100" a="1"/>
  <c r="F213" i="100" s="1"/>
  <c r="E213" i="100" a="1"/>
  <c r="E213" i="100" s="1"/>
  <c r="D213" i="100" a="1"/>
  <c r="D213" i="100" s="1"/>
  <c r="AH212" i="100" a="1"/>
  <c r="AH212" i="100" s="1"/>
  <c r="AG212" i="100" a="1"/>
  <c r="AG212" i="100" s="1"/>
  <c r="AF212" i="100" a="1"/>
  <c r="AF212" i="100" s="1"/>
  <c r="AE212" i="100" a="1"/>
  <c r="AE212" i="100" s="1"/>
  <c r="AD212" i="100" a="1"/>
  <c r="AD212" i="100" s="1"/>
  <c r="AC212" i="100" a="1"/>
  <c r="AC212" i="100" s="1"/>
  <c r="AB212" i="100" a="1"/>
  <c r="AB212" i="100" s="1"/>
  <c r="AA212" i="100" a="1"/>
  <c r="AA212" i="100" s="1"/>
  <c r="Z212" i="100" a="1"/>
  <c r="Z212" i="100" s="1"/>
  <c r="Y212" i="100" a="1"/>
  <c r="Y212" i="100" s="1"/>
  <c r="X212" i="100" a="1"/>
  <c r="X212" i="100" s="1"/>
  <c r="W212" i="100" a="1"/>
  <c r="W212" i="100" s="1"/>
  <c r="V212" i="100" a="1"/>
  <c r="V212" i="100" s="1"/>
  <c r="U212" i="100" a="1"/>
  <c r="U212" i="100" s="1"/>
  <c r="T212" i="100" a="1"/>
  <c r="T212" i="100" s="1"/>
  <c r="S212" i="100" a="1"/>
  <c r="S212" i="100" s="1"/>
  <c r="R212" i="100" a="1"/>
  <c r="R212" i="100" s="1"/>
  <c r="Q212" i="100" a="1"/>
  <c r="Q212" i="100" s="1"/>
  <c r="P212" i="100" a="1"/>
  <c r="P212" i="100" s="1"/>
  <c r="O212" i="100" a="1"/>
  <c r="O212" i="100" s="1"/>
  <c r="N212" i="100" a="1"/>
  <c r="N212" i="100" s="1"/>
  <c r="M212" i="100" a="1"/>
  <c r="M212" i="100" s="1"/>
  <c r="L212" i="100" a="1"/>
  <c r="L212" i="100" s="1"/>
  <c r="K212" i="100" a="1"/>
  <c r="K212" i="100" s="1"/>
  <c r="J212" i="100" a="1"/>
  <c r="J212" i="100" s="1"/>
  <c r="I212" i="100" a="1"/>
  <c r="I212" i="100" s="1"/>
  <c r="H212" i="100" a="1"/>
  <c r="H212" i="100" s="1"/>
  <c r="G212" i="100" a="1"/>
  <c r="G212" i="100" s="1"/>
  <c r="F212" i="100" a="1"/>
  <c r="F212" i="100" s="1"/>
  <c r="E212" i="100" a="1"/>
  <c r="E212" i="100" s="1"/>
  <c r="D212" i="100" a="1"/>
  <c r="D212" i="100" s="1"/>
  <c r="AH211" i="100" a="1"/>
  <c r="AH211" i="100" s="1"/>
  <c r="AG211" i="100" a="1"/>
  <c r="AG211" i="100" s="1"/>
  <c r="AF211" i="100" a="1"/>
  <c r="AF211" i="100" s="1"/>
  <c r="AE211" i="100" a="1"/>
  <c r="AE211" i="100" s="1"/>
  <c r="AD211" i="100" a="1"/>
  <c r="AD211" i="100" s="1"/>
  <c r="AC211" i="100" a="1"/>
  <c r="AC211" i="100" s="1"/>
  <c r="AB211" i="100" a="1"/>
  <c r="AB211" i="100" s="1"/>
  <c r="AA211" i="100" a="1"/>
  <c r="AA211" i="100" s="1"/>
  <c r="Z211" i="100" a="1"/>
  <c r="Z211" i="100" s="1"/>
  <c r="Y211" i="100" a="1"/>
  <c r="Y211" i="100" s="1"/>
  <c r="X211" i="100" a="1"/>
  <c r="X211" i="100" s="1"/>
  <c r="W211" i="100" a="1"/>
  <c r="W211" i="100" s="1"/>
  <c r="V211" i="100" a="1"/>
  <c r="V211" i="100" s="1"/>
  <c r="U211" i="100" a="1"/>
  <c r="U211" i="100" s="1"/>
  <c r="T211" i="100" a="1"/>
  <c r="T211" i="100" s="1"/>
  <c r="S211" i="100" a="1"/>
  <c r="S211" i="100" s="1"/>
  <c r="R211" i="100" a="1"/>
  <c r="R211" i="100" s="1"/>
  <c r="Q211" i="100" a="1"/>
  <c r="Q211" i="100" s="1"/>
  <c r="P211" i="100" a="1"/>
  <c r="P211" i="100" s="1"/>
  <c r="O211" i="100" a="1"/>
  <c r="O211" i="100" s="1"/>
  <c r="N211" i="100" a="1"/>
  <c r="N211" i="100" s="1"/>
  <c r="M211" i="100" a="1"/>
  <c r="M211" i="100" s="1"/>
  <c r="L211" i="100" a="1"/>
  <c r="L211" i="100" s="1"/>
  <c r="K211" i="100" a="1"/>
  <c r="K211" i="100" s="1"/>
  <c r="J211" i="100" a="1"/>
  <c r="J211" i="100" s="1"/>
  <c r="I211" i="100" a="1"/>
  <c r="I211" i="100" s="1"/>
  <c r="H211" i="100" a="1"/>
  <c r="H211" i="100" s="1"/>
  <c r="G211" i="100" a="1"/>
  <c r="G211" i="100" s="1"/>
  <c r="F211" i="100" a="1"/>
  <c r="F211" i="100" s="1"/>
  <c r="E211" i="100" a="1"/>
  <c r="E211" i="100" s="1"/>
  <c r="D211" i="100" a="1"/>
  <c r="D211" i="100" s="1"/>
  <c r="AH210" i="100" a="1"/>
  <c r="AH210" i="100" s="1"/>
  <c r="AG210" i="100" a="1"/>
  <c r="AG210" i="100" s="1"/>
  <c r="AF210" i="100" a="1"/>
  <c r="AF210" i="100" s="1"/>
  <c r="AE210" i="100" a="1"/>
  <c r="AE210" i="100" s="1"/>
  <c r="AD210" i="100" a="1"/>
  <c r="AD210" i="100" s="1"/>
  <c r="AC210" i="100" a="1"/>
  <c r="AC210" i="100" s="1"/>
  <c r="AB210" i="100" a="1"/>
  <c r="AB210" i="100" s="1"/>
  <c r="AA210" i="100" a="1"/>
  <c r="AA210" i="100" s="1"/>
  <c r="Z210" i="100" a="1"/>
  <c r="Z210" i="100" s="1"/>
  <c r="Y210" i="100" a="1"/>
  <c r="Y210" i="100" s="1"/>
  <c r="X210" i="100" a="1"/>
  <c r="X210" i="100" s="1"/>
  <c r="W210" i="100" a="1"/>
  <c r="W210" i="100" s="1"/>
  <c r="V210" i="100" a="1"/>
  <c r="V210" i="100" s="1"/>
  <c r="U210" i="100" a="1"/>
  <c r="U210" i="100" s="1"/>
  <c r="T210" i="100" a="1"/>
  <c r="T210" i="100" s="1"/>
  <c r="S210" i="100" a="1"/>
  <c r="S210" i="100" s="1"/>
  <c r="R210" i="100" a="1"/>
  <c r="R210" i="100" s="1"/>
  <c r="Q210" i="100" a="1"/>
  <c r="Q210" i="100" s="1"/>
  <c r="P210" i="100" a="1"/>
  <c r="P210" i="100" s="1"/>
  <c r="O210" i="100" a="1"/>
  <c r="O210" i="100" s="1"/>
  <c r="N210" i="100" a="1"/>
  <c r="N210" i="100" s="1"/>
  <c r="M210" i="100" a="1"/>
  <c r="M210" i="100" s="1"/>
  <c r="L210" i="100" a="1"/>
  <c r="L210" i="100" s="1"/>
  <c r="K210" i="100" a="1"/>
  <c r="K210" i="100" s="1"/>
  <c r="J210" i="100" a="1"/>
  <c r="J210" i="100" s="1"/>
  <c r="I210" i="100" a="1"/>
  <c r="I210" i="100" s="1"/>
  <c r="H210" i="100" a="1"/>
  <c r="H210" i="100" s="1"/>
  <c r="G210" i="100" a="1"/>
  <c r="G210" i="100" s="1"/>
  <c r="F210" i="100" a="1"/>
  <c r="F210" i="100" s="1"/>
  <c r="E210" i="100" a="1"/>
  <c r="E210" i="100" s="1"/>
  <c r="D210" i="100" a="1"/>
  <c r="D210" i="100" s="1"/>
  <c r="AH209" i="100" a="1"/>
  <c r="AH209" i="100" s="1"/>
  <c r="AG209" i="100" a="1"/>
  <c r="AG209" i="100" s="1"/>
  <c r="AF209" i="100" a="1"/>
  <c r="AF209" i="100" s="1"/>
  <c r="AE209" i="100" a="1"/>
  <c r="AE209" i="100" s="1"/>
  <c r="AD209" i="100" a="1"/>
  <c r="AD209" i="100" s="1"/>
  <c r="AC209" i="100" a="1"/>
  <c r="AC209" i="100" s="1"/>
  <c r="AB209" i="100" a="1"/>
  <c r="AB209" i="100" s="1"/>
  <c r="AA209" i="100" a="1"/>
  <c r="AA209" i="100" s="1"/>
  <c r="Z209" i="100" a="1"/>
  <c r="Z209" i="100" s="1"/>
  <c r="Y209" i="100" a="1"/>
  <c r="Y209" i="100" s="1"/>
  <c r="X209" i="100" a="1"/>
  <c r="X209" i="100" s="1"/>
  <c r="W209" i="100" a="1"/>
  <c r="W209" i="100" s="1"/>
  <c r="V209" i="100" a="1"/>
  <c r="V209" i="100" s="1"/>
  <c r="U209" i="100" a="1"/>
  <c r="U209" i="100" s="1"/>
  <c r="T209" i="100" a="1"/>
  <c r="T209" i="100" s="1"/>
  <c r="S209" i="100" a="1"/>
  <c r="S209" i="100" s="1"/>
  <c r="R209" i="100" a="1"/>
  <c r="R209" i="100" s="1"/>
  <c r="Q209" i="100" a="1"/>
  <c r="Q209" i="100" s="1"/>
  <c r="P209" i="100" a="1"/>
  <c r="P209" i="100" s="1"/>
  <c r="O209" i="100" a="1"/>
  <c r="O209" i="100" s="1"/>
  <c r="N209" i="100" a="1"/>
  <c r="N209" i="100" s="1"/>
  <c r="M209" i="100" a="1"/>
  <c r="M209" i="100" s="1"/>
  <c r="L209" i="100" a="1"/>
  <c r="L209" i="100" s="1"/>
  <c r="K209" i="100" a="1"/>
  <c r="K209" i="100" s="1"/>
  <c r="J209" i="100" a="1"/>
  <c r="J209" i="100" s="1"/>
  <c r="I209" i="100" a="1"/>
  <c r="I209" i="100" s="1"/>
  <c r="H209" i="100" a="1"/>
  <c r="H209" i="100" s="1"/>
  <c r="G209" i="100" a="1"/>
  <c r="G209" i="100" s="1"/>
  <c r="F209" i="100" a="1"/>
  <c r="F209" i="100" s="1"/>
  <c r="E209" i="100" a="1"/>
  <c r="E209" i="100" s="1"/>
  <c r="D209" i="100" a="1"/>
  <c r="D209" i="100" s="1"/>
  <c r="AH208" i="100" a="1"/>
  <c r="AH208" i="100" s="1"/>
  <c r="AG208" i="100" a="1"/>
  <c r="AG208" i="100" s="1"/>
  <c r="AF208" i="100" a="1"/>
  <c r="AF208" i="100" s="1"/>
  <c r="AE208" i="100" a="1"/>
  <c r="AE208" i="100" s="1"/>
  <c r="AD208" i="100" a="1"/>
  <c r="AD208" i="100" s="1"/>
  <c r="AC208" i="100" a="1"/>
  <c r="AC208" i="100" s="1"/>
  <c r="AB208" i="100" a="1"/>
  <c r="AB208" i="100" s="1"/>
  <c r="AA208" i="100" a="1"/>
  <c r="AA208" i="100" s="1"/>
  <c r="Z208" i="100" a="1"/>
  <c r="Z208" i="100" s="1"/>
  <c r="Y208" i="100" a="1"/>
  <c r="Y208" i="100" s="1"/>
  <c r="X208" i="100" a="1"/>
  <c r="X208" i="100" s="1"/>
  <c r="W208" i="100" a="1"/>
  <c r="W208" i="100" s="1"/>
  <c r="V208" i="100" a="1"/>
  <c r="V208" i="100" s="1"/>
  <c r="U208" i="100" a="1"/>
  <c r="U208" i="100" s="1"/>
  <c r="T208" i="100" a="1"/>
  <c r="T208" i="100" s="1"/>
  <c r="S208" i="100" a="1"/>
  <c r="S208" i="100" s="1"/>
  <c r="R208" i="100" a="1"/>
  <c r="R208" i="100" s="1"/>
  <c r="Q208" i="100" a="1"/>
  <c r="Q208" i="100" s="1"/>
  <c r="P208" i="100" a="1"/>
  <c r="P208" i="100" s="1"/>
  <c r="O208" i="100" a="1"/>
  <c r="O208" i="100" s="1"/>
  <c r="N208" i="100" a="1"/>
  <c r="N208" i="100" s="1"/>
  <c r="M208" i="100" a="1"/>
  <c r="M208" i="100" s="1"/>
  <c r="L208" i="100" a="1"/>
  <c r="L208" i="100" s="1"/>
  <c r="K208" i="100" a="1"/>
  <c r="K208" i="100" s="1"/>
  <c r="J208" i="100" a="1"/>
  <c r="J208" i="100" s="1"/>
  <c r="I208" i="100" a="1"/>
  <c r="I208" i="100" s="1"/>
  <c r="H208" i="100" a="1"/>
  <c r="H208" i="100" s="1"/>
  <c r="G208" i="100" a="1"/>
  <c r="G208" i="100" s="1"/>
  <c r="F208" i="100" a="1"/>
  <c r="F208" i="100" s="1"/>
  <c r="E208" i="100" a="1"/>
  <c r="E208" i="100" s="1"/>
  <c r="D208" i="100" a="1"/>
  <c r="D208" i="100" s="1"/>
  <c r="AH207" i="100" a="1"/>
  <c r="AH207" i="100" s="1"/>
  <c r="AG207" i="100" a="1"/>
  <c r="AG207" i="100" s="1"/>
  <c r="AF207" i="100" a="1"/>
  <c r="AF207" i="100" s="1"/>
  <c r="AE207" i="100" a="1"/>
  <c r="AE207" i="100" s="1"/>
  <c r="AD207" i="100" a="1"/>
  <c r="AD207" i="100" s="1"/>
  <c r="AC207" i="100" a="1"/>
  <c r="AC207" i="100" s="1"/>
  <c r="AB207" i="100" a="1"/>
  <c r="AB207" i="100" s="1"/>
  <c r="AA207" i="100" a="1"/>
  <c r="AA207" i="100" s="1"/>
  <c r="Z207" i="100" a="1"/>
  <c r="Z207" i="100" s="1"/>
  <c r="Y207" i="100" a="1"/>
  <c r="Y207" i="100" s="1"/>
  <c r="X207" i="100" a="1"/>
  <c r="X207" i="100" s="1"/>
  <c r="W207" i="100" a="1"/>
  <c r="W207" i="100" s="1"/>
  <c r="V207" i="100" a="1"/>
  <c r="V207" i="100" s="1"/>
  <c r="U207" i="100" a="1"/>
  <c r="U207" i="100" s="1"/>
  <c r="T207" i="100" a="1"/>
  <c r="T207" i="100" s="1"/>
  <c r="S207" i="100" a="1"/>
  <c r="S207" i="100" s="1"/>
  <c r="R207" i="100" a="1"/>
  <c r="R207" i="100" s="1"/>
  <c r="Q207" i="100" a="1"/>
  <c r="Q207" i="100" s="1"/>
  <c r="P207" i="100" a="1"/>
  <c r="P207" i="100" s="1"/>
  <c r="O207" i="100" a="1"/>
  <c r="O207" i="100" s="1"/>
  <c r="N207" i="100" a="1"/>
  <c r="N207" i="100" s="1"/>
  <c r="M207" i="100" a="1"/>
  <c r="M207" i="100" s="1"/>
  <c r="L207" i="100" a="1"/>
  <c r="L207" i="100" s="1"/>
  <c r="K207" i="100" a="1"/>
  <c r="K207" i="100" s="1"/>
  <c r="J207" i="100" a="1"/>
  <c r="J207" i="100" s="1"/>
  <c r="I207" i="100" a="1"/>
  <c r="I207" i="100" s="1"/>
  <c r="H207" i="100" a="1"/>
  <c r="H207" i="100" s="1"/>
  <c r="G207" i="100" a="1"/>
  <c r="G207" i="100" s="1"/>
  <c r="F207" i="100" a="1"/>
  <c r="F207" i="100" s="1"/>
  <c r="E207" i="100" a="1"/>
  <c r="E207" i="100" s="1"/>
  <c r="D207" i="100" a="1"/>
  <c r="D207" i="100" s="1"/>
  <c r="AH206" i="100" a="1"/>
  <c r="AH206" i="100" s="1"/>
  <c r="AG206" i="100" a="1"/>
  <c r="AG206" i="100" s="1"/>
  <c r="AF206" i="100" a="1"/>
  <c r="AF206" i="100" s="1"/>
  <c r="AE206" i="100" a="1"/>
  <c r="AE206" i="100" s="1"/>
  <c r="AD206" i="100" a="1"/>
  <c r="AD206" i="100" s="1"/>
  <c r="AC206" i="100" a="1"/>
  <c r="AC206" i="100" s="1"/>
  <c r="AB206" i="100" a="1"/>
  <c r="AB206" i="100" s="1"/>
  <c r="AA206" i="100" a="1"/>
  <c r="AA206" i="100" s="1"/>
  <c r="Z206" i="100" a="1"/>
  <c r="Z206" i="100" s="1"/>
  <c r="Y206" i="100" a="1"/>
  <c r="Y206" i="100" s="1"/>
  <c r="X206" i="100" a="1"/>
  <c r="X206" i="100" s="1"/>
  <c r="W206" i="100" a="1"/>
  <c r="W206" i="100" s="1"/>
  <c r="V206" i="100" a="1"/>
  <c r="V206" i="100" s="1"/>
  <c r="U206" i="100" a="1"/>
  <c r="U206" i="100" s="1"/>
  <c r="T206" i="100" a="1"/>
  <c r="T206" i="100" s="1"/>
  <c r="S206" i="100" a="1"/>
  <c r="S206" i="100" s="1"/>
  <c r="R206" i="100" a="1"/>
  <c r="R206" i="100" s="1"/>
  <c r="Q206" i="100" a="1"/>
  <c r="Q206" i="100" s="1"/>
  <c r="P206" i="100" a="1"/>
  <c r="P206" i="100" s="1"/>
  <c r="O206" i="100" a="1"/>
  <c r="O206" i="100" s="1"/>
  <c r="N206" i="100" a="1"/>
  <c r="N206" i="100" s="1"/>
  <c r="M206" i="100" a="1"/>
  <c r="M206" i="100" s="1"/>
  <c r="L206" i="100" a="1"/>
  <c r="L206" i="100" s="1"/>
  <c r="K206" i="100" a="1"/>
  <c r="K206" i="100" s="1"/>
  <c r="J206" i="100" a="1"/>
  <c r="J206" i="100" s="1"/>
  <c r="I206" i="100" a="1"/>
  <c r="I206" i="100" s="1"/>
  <c r="H206" i="100" a="1"/>
  <c r="H206" i="100" s="1"/>
  <c r="G206" i="100" a="1"/>
  <c r="G206" i="100" s="1"/>
  <c r="F206" i="100" a="1"/>
  <c r="F206" i="100" s="1"/>
  <c r="E206" i="100" a="1"/>
  <c r="E206" i="100" s="1"/>
  <c r="D206" i="100" a="1"/>
  <c r="D206" i="100" s="1"/>
  <c r="AH205" i="100" a="1"/>
  <c r="AH205" i="100" s="1"/>
  <c r="AG205" i="100" a="1"/>
  <c r="AG205" i="100" s="1"/>
  <c r="AF205" i="100" a="1"/>
  <c r="AF205" i="100" s="1"/>
  <c r="AE205" i="100" a="1"/>
  <c r="AE205" i="100" s="1"/>
  <c r="AD205" i="100" a="1"/>
  <c r="AD205" i="100" s="1"/>
  <c r="AC205" i="100" a="1"/>
  <c r="AC205" i="100" s="1"/>
  <c r="AB205" i="100" a="1"/>
  <c r="AB205" i="100" s="1"/>
  <c r="AA205" i="100" a="1"/>
  <c r="AA205" i="100" s="1"/>
  <c r="Z205" i="100" a="1"/>
  <c r="Z205" i="100" s="1"/>
  <c r="Y205" i="100" a="1"/>
  <c r="Y205" i="100" s="1"/>
  <c r="X205" i="100" a="1"/>
  <c r="X205" i="100" s="1"/>
  <c r="W205" i="100" a="1"/>
  <c r="W205" i="100" s="1"/>
  <c r="V205" i="100" a="1"/>
  <c r="V205" i="100" s="1"/>
  <c r="U205" i="100" a="1"/>
  <c r="U205" i="100" s="1"/>
  <c r="T205" i="100" a="1"/>
  <c r="T205" i="100" s="1"/>
  <c r="S205" i="100" a="1"/>
  <c r="S205" i="100" s="1"/>
  <c r="R205" i="100" a="1"/>
  <c r="R205" i="100" s="1"/>
  <c r="Q205" i="100" a="1"/>
  <c r="Q205" i="100" s="1"/>
  <c r="P205" i="100" a="1"/>
  <c r="P205" i="100" s="1"/>
  <c r="O205" i="100" a="1"/>
  <c r="O205" i="100" s="1"/>
  <c r="N205" i="100" a="1"/>
  <c r="N205" i="100" s="1"/>
  <c r="M205" i="100" a="1"/>
  <c r="M205" i="100" s="1"/>
  <c r="L205" i="100" a="1"/>
  <c r="L205" i="100" s="1"/>
  <c r="K205" i="100" a="1"/>
  <c r="K205" i="100" s="1"/>
  <c r="J205" i="100" a="1"/>
  <c r="J205" i="100" s="1"/>
  <c r="I205" i="100" a="1"/>
  <c r="I205" i="100" s="1"/>
  <c r="H205" i="100" a="1"/>
  <c r="H205" i="100" s="1"/>
  <c r="G205" i="100" a="1"/>
  <c r="G205" i="100" s="1"/>
  <c r="F205" i="100" a="1"/>
  <c r="F205" i="100" s="1"/>
  <c r="E205" i="100" a="1"/>
  <c r="E205" i="100" s="1"/>
  <c r="D205" i="100" a="1"/>
  <c r="D205" i="100" s="1"/>
  <c r="AH204" i="100" a="1"/>
  <c r="AH204" i="100" s="1"/>
  <c r="AG204" i="100" a="1"/>
  <c r="AG204" i="100" s="1"/>
  <c r="AF204" i="100" a="1"/>
  <c r="AF204" i="100" s="1"/>
  <c r="AE204" i="100" a="1"/>
  <c r="AE204" i="100" s="1"/>
  <c r="AD204" i="100" a="1"/>
  <c r="AD204" i="100" s="1"/>
  <c r="AC204" i="100" a="1"/>
  <c r="AC204" i="100" s="1"/>
  <c r="AB204" i="100" a="1"/>
  <c r="AB204" i="100" s="1"/>
  <c r="AA204" i="100" a="1"/>
  <c r="AA204" i="100" s="1"/>
  <c r="Z204" i="100" a="1"/>
  <c r="Z204" i="100" s="1"/>
  <c r="Y204" i="100" a="1"/>
  <c r="Y204" i="100" s="1"/>
  <c r="X204" i="100" a="1"/>
  <c r="X204" i="100" s="1"/>
  <c r="W204" i="100" a="1"/>
  <c r="W204" i="100" s="1"/>
  <c r="V204" i="100" a="1"/>
  <c r="V204" i="100" s="1"/>
  <c r="U204" i="100" a="1"/>
  <c r="U204" i="100" s="1"/>
  <c r="T204" i="100" a="1"/>
  <c r="T204" i="100" s="1"/>
  <c r="S204" i="100" a="1"/>
  <c r="S204" i="100" s="1"/>
  <c r="R204" i="100" a="1"/>
  <c r="R204" i="100" s="1"/>
  <c r="Q204" i="100" a="1"/>
  <c r="Q204" i="100" s="1"/>
  <c r="P204" i="100" a="1"/>
  <c r="P204" i="100" s="1"/>
  <c r="O204" i="100" a="1"/>
  <c r="O204" i="100" s="1"/>
  <c r="N204" i="100" a="1"/>
  <c r="N204" i="100" s="1"/>
  <c r="M204" i="100" a="1"/>
  <c r="M204" i="100" s="1"/>
  <c r="L204" i="100" a="1"/>
  <c r="L204" i="100" s="1"/>
  <c r="K204" i="100" a="1"/>
  <c r="K204" i="100" s="1"/>
  <c r="J204" i="100" a="1"/>
  <c r="J204" i="100" s="1"/>
  <c r="I204" i="100" a="1"/>
  <c r="I204" i="100" s="1"/>
  <c r="H204" i="100" a="1"/>
  <c r="H204" i="100" s="1"/>
  <c r="G204" i="100" a="1"/>
  <c r="G204" i="100" s="1"/>
  <c r="F204" i="100" a="1"/>
  <c r="F204" i="100" s="1"/>
  <c r="E204" i="100" a="1"/>
  <c r="E204" i="100" s="1"/>
  <c r="D204" i="100" a="1"/>
  <c r="D204" i="100" s="1"/>
  <c r="AH203" i="100" a="1"/>
  <c r="AH203" i="100" s="1"/>
  <c r="AG203" i="100" a="1"/>
  <c r="AG203" i="100" s="1"/>
  <c r="AF203" i="100" a="1"/>
  <c r="AF203" i="100" s="1"/>
  <c r="AE203" i="100" a="1"/>
  <c r="AE203" i="100" s="1"/>
  <c r="AD203" i="100" a="1"/>
  <c r="AD203" i="100" s="1"/>
  <c r="AC203" i="100" a="1"/>
  <c r="AC203" i="100" s="1"/>
  <c r="AB203" i="100" a="1"/>
  <c r="AB203" i="100" s="1"/>
  <c r="AA203" i="100" a="1"/>
  <c r="AA203" i="100" s="1"/>
  <c r="Z203" i="100" a="1"/>
  <c r="Z203" i="100" s="1"/>
  <c r="Y203" i="100" a="1"/>
  <c r="Y203" i="100" s="1"/>
  <c r="X203" i="100" a="1"/>
  <c r="X203" i="100" s="1"/>
  <c r="W203" i="100" a="1"/>
  <c r="W203" i="100" s="1"/>
  <c r="V203" i="100" a="1"/>
  <c r="V203" i="100" s="1"/>
  <c r="U203" i="100" a="1"/>
  <c r="U203" i="100" s="1"/>
  <c r="T203" i="100" a="1"/>
  <c r="T203" i="100" s="1"/>
  <c r="S203" i="100" a="1"/>
  <c r="S203" i="100" s="1"/>
  <c r="R203" i="100" a="1"/>
  <c r="R203" i="100" s="1"/>
  <c r="Q203" i="100" a="1"/>
  <c r="Q203" i="100" s="1"/>
  <c r="P203" i="100" a="1"/>
  <c r="P203" i="100" s="1"/>
  <c r="O203" i="100" a="1"/>
  <c r="O203" i="100" s="1"/>
  <c r="N203" i="100" a="1"/>
  <c r="N203" i="100" s="1"/>
  <c r="M203" i="100" a="1"/>
  <c r="M203" i="100" s="1"/>
  <c r="L203" i="100" a="1"/>
  <c r="L203" i="100" s="1"/>
  <c r="K203" i="100" a="1"/>
  <c r="K203" i="100" s="1"/>
  <c r="J203" i="100" a="1"/>
  <c r="J203" i="100" s="1"/>
  <c r="I203" i="100" a="1"/>
  <c r="I203" i="100" s="1"/>
  <c r="H203" i="100" a="1"/>
  <c r="H203" i="100" s="1"/>
  <c r="G203" i="100" a="1"/>
  <c r="G203" i="100" s="1"/>
  <c r="F203" i="100" a="1"/>
  <c r="F203" i="100" s="1"/>
  <c r="E203" i="100" a="1"/>
  <c r="E203" i="100" s="1"/>
  <c r="D203" i="100" a="1"/>
  <c r="D203" i="100" s="1"/>
  <c r="AH202" i="100" a="1"/>
  <c r="AH202" i="100" s="1"/>
  <c r="AG202" i="100" a="1"/>
  <c r="AG202" i="100" s="1"/>
  <c r="AF202" i="100" a="1"/>
  <c r="AF202" i="100" s="1"/>
  <c r="AE202" i="100" a="1"/>
  <c r="AE202" i="100" s="1"/>
  <c r="AD202" i="100" a="1"/>
  <c r="AD202" i="100" s="1"/>
  <c r="AC202" i="100" a="1"/>
  <c r="AC202" i="100" s="1"/>
  <c r="AB202" i="100" a="1"/>
  <c r="AB202" i="100" s="1"/>
  <c r="AA202" i="100" a="1"/>
  <c r="AA202" i="100" s="1"/>
  <c r="Z202" i="100" a="1"/>
  <c r="Z202" i="100" s="1"/>
  <c r="Y202" i="100" a="1"/>
  <c r="Y202" i="100" s="1"/>
  <c r="X202" i="100" a="1"/>
  <c r="X202" i="100" s="1"/>
  <c r="W202" i="100" a="1"/>
  <c r="W202" i="100" s="1"/>
  <c r="V202" i="100" a="1"/>
  <c r="V202" i="100" s="1"/>
  <c r="U202" i="100" a="1"/>
  <c r="U202" i="100" s="1"/>
  <c r="T202" i="100" a="1"/>
  <c r="T202" i="100" s="1"/>
  <c r="S202" i="100" a="1"/>
  <c r="S202" i="100" s="1"/>
  <c r="R202" i="100" a="1"/>
  <c r="R202" i="100" s="1"/>
  <c r="Q202" i="100" a="1"/>
  <c r="Q202" i="100" s="1"/>
  <c r="P202" i="100" a="1"/>
  <c r="P202" i="100" s="1"/>
  <c r="O202" i="100" a="1"/>
  <c r="O202" i="100" s="1"/>
  <c r="N202" i="100" a="1"/>
  <c r="N202" i="100" s="1"/>
  <c r="M202" i="100" a="1"/>
  <c r="M202" i="100" s="1"/>
  <c r="L202" i="100" a="1"/>
  <c r="L202" i="100" s="1"/>
  <c r="K202" i="100" a="1"/>
  <c r="K202" i="100" s="1"/>
  <c r="J202" i="100" a="1"/>
  <c r="J202" i="100" s="1"/>
  <c r="I202" i="100" a="1"/>
  <c r="I202" i="100" s="1"/>
  <c r="H202" i="100" a="1"/>
  <c r="H202" i="100" s="1"/>
  <c r="G202" i="100" a="1"/>
  <c r="G202" i="100" s="1"/>
  <c r="F202" i="100" a="1"/>
  <c r="F202" i="100" s="1"/>
  <c r="E202" i="100" a="1"/>
  <c r="E202" i="100" s="1"/>
  <c r="D202" i="100" a="1"/>
  <c r="D202" i="100" s="1"/>
  <c r="AH201" i="100" a="1"/>
  <c r="AH201" i="100" s="1"/>
  <c r="AG201" i="100" a="1"/>
  <c r="AG201" i="100" s="1"/>
  <c r="AF201" i="100" a="1"/>
  <c r="AF201" i="100" s="1"/>
  <c r="AE201" i="100" a="1"/>
  <c r="AE201" i="100" s="1"/>
  <c r="AD201" i="100" a="1"/>
  <c r="AD201" i="100" s="1"/>
  <c r="AC201" i="100" a="1"/>
  <c r="AC201" i="100" s="1"/>
  <c r="AB201" i="100" a="1"/>
  <c r="AB201" i="100" s="1"/>
  <c r="AA201" i="100" a="1"/>
  <c r="AA201" i="100" s="1"/>
  <c r="Z201" i="100" a="1"/>
  <c r="Z201" i="100" s="1"/>
  <c r="Y201" i="100" a="1"/>
  <c r="Y201" i="100" s="1"/>
  <c r="X201" i="100" a="1"/>
  <c r="X201" i="100" s="1"/>
  <c r="W201" i="100" a="1"/>
  <c r="W201" i="100" s="1"/>
  <c r="V201" i="100" a="1"/>
  <c r="V201" i="100" s="1"/>
  <c r="U201" i="100" a="1"/>
  <c r="U201" i="100" s="1"/>
  <c r="T201" i="100" a="1"/>
  <c r="T201" i="100" s="1"/>
  <c r="S201" i="100" a="1"/>
  <c r="S201" i="100" s="1"/>
  <c r="R201" i="100" a="1"/>
  <c r="R201" i="100" s="1"/>
  <c r="Q201" i="100" a="1"/>
  <c r="Q201" i="100" s="1"/>
  <c r="P201" i="100" a="1"/>
  <c r="P201" i="100" s="1"/>
  <c r="O201" i="100" a="1"/>
  <c r="O201" i="100" s="1"/>
  <c r="N201" i="100" a="1"/>
  <c r="N201" i="100" s="1"/>
  <c r="M201" i="100" a="1"/>
  <c r="M201" i="100" s="1"/>
  <c r="L201" i="100" a="1"/>
  <c r="L201" i="100" s="1"/>
  <c r="K201" i="100" a="1"/>
  <c r="K201" i="100" s="1"/>
  <c r="J201" i="100" a="1"/>
  <c r="J201" i="100" s="1"/>
  <c r="I201" i="100" a="1"/>
  <c r="I201" i="100" s="1"/>
  <c r="H201" i="100" a="1"/>
  <c r="H201" i="100" s="1"/>
  <c r="G201" i="100" a="1"/>
  <c r="G201" i="100" s="1"/>
  <c r="F201" i="100" a="1"/>
  <c r="F201" i="100" s="1"/>
  <c r="E201" i="100" a="1"/>
  <c r="E201" i="100" s="1"/>
  <c r="D201" i="100" a="1"/>
  <c r="D201" i="100" s="1"/>
  <c r="AH200" i="100" a="1"/>
  <c r="AH200" i="100" s="1"/>
  <c r="AG200" i="100" a="1"/>
  <c r="AG200" i="100" s="1"/>
  <c r="AF200" i="100" a="1"/>
  <c r="AF200" i="100" s="1"/>
  <c r="AE200" i="100" a="1"/>
  <c r="AE200" i="100" s="1"/>
  <c r="AD200" i="100" a="1"/>
  <c r="AD200" i="100" s="1"/>
  <c r="AC200" i="100" a="1"/>
  <c r="AC200" i="100" s="1"/>
  <c r="AB200" i="100" a="1"/>
  <c r="AB200" i="100" s="1"/>
  <c r="AA200" i="100" a="1"/>
  <c r="AA200" i="100" s="1"/>
  <c r="Z200" i="100" a="1"/>
  <c r="Z200" i="100" s="1"/>
  <c r="Y200" i="100" a="1"/>
  <c r="Y200" i="100" s="1"/>
  <c r="X200" i="100" a="1"/>
  <c r="X200" i="100" s="1"/>
  <c r="W200" i="100" a="1"/>
  <c r="W200" i="100" s="1"/>
  <c r="V200" i="100" a="1"/>
  <c r="V200" i="100" s="1"/>
  <c r="U200" i="100" a="1"/>
  <c r="U200" i="100" s="1"/>
  <c r="T200" i="100" a="1"/>
  <c r="T200" i="100" s="1"/>
  <c r="S200" i="100" a="1"/>
  <c r="S200" i="100" s="1"/>
  <c r="R200" i="100" a="1"/>
  <c r="R200" i="100" s="1"/>
  <c r="Q200" i="100" a="1"/>
  <c r="Q200" i="100" s="1"/>
  <c r="P200" i="100" a="1"/>
  <c r="P200" i="100" s="1"/>
  <c r="O200" i="100" a="1"/>
  <c r="O200" i="100" s="1"/>
  <c r="N200" i="100" a="1"/>
  <c r="N200" i="100" s="1"/>
  <c r="M200" i="100" a="1"/>
  <c r="M200" i="100" s="1"/>
  <c r="L200" i="100" a="1"/>
  <c r="L200" i="100" s="1"/>
  <c r="K200" i="100" a="1"/>
  <c r="K200" i="100" s="1"/>
  <c r="J200" i="100" a="1"/>
  <c r="J200" i="100" s="1"/>
  <c r="I200" i="100" a="1"/>
  <c r="I200" i="100" s="1"/>
  <c r="H200" i="100" a="1"/>
  <c r="H200" i="100" s="1"/>
  <c r="G200" i="100" a="1"/>
  <c r="G200" i="100" s="1"/>
  <c r="F200" i="100" a="1"/>
  <c r="F200" i="100" s="1"/>
  <c r="E200" i="100" a="1"/>
  <c r="E200" i="100" s="1"/>
  <c r="D200" i="100" a="1"/>
  <c r="D200" i="100" s="1"/>
  <c r="AH199" i="100" a="1"/>
  <c r="AH199" i="100" s="1"/>
  <c r="AG199" i="100" a="1"/>
  <c r="AG199" i="100" s="1"/>
  <c r="AF199" i="100" a="1"/>
  <c r="AF199" i="100" s="1"/>
  <c r="AE199" i="100" a="1"/>
  <c r="AE199" i="100" s="1"/>
  <c r="AD199" i="100" a="1"/>
  <c r="AD199" i="100" s="1"/>
  <c r="AC199" i="100" a="1"/>
  <c r="AC199" i="100" s="1"/>
  <c r="AB199" i="100" a="1"/>
  <c r="AB199" i="100" s="1"/>
  <c r="AA199" i="100" a="1"/>
  <c r="AA199" i="100" s="1"/>
  <c r="Z199" i="100" a="1"/>
  <c r="Z199" i="100" s="1"/>
  <c r="Y199" i="100" a="1"/>
  <c r="Y199" i="100" s="1"/>
  <c r="X199" i="100" a="1"/>
  <c r="X199" i="100" s="1"/>
  <c r="W199" i="100" a="1"/>
  <c r="W199" i="100" s="1"/>
  <c r="V199" i="100" a="1"/>
  <c r="V199" i="100" s="1"/>
  <c r="U199" i="100" a="1"/>
  <c r="U199" i="100" s="1"/>
  <c r="T199" i="100" a="1"/>
  <c r="T199" i="100" s="1"/>
  <c r="S199" i="100" a="1"/>
  <c r="S199" i="100" s="1"/>
  <c r="R199" i="100" a="1"/>
  <c r="R199" i="100" s="1"/>
  <c r="Q199" i="100" a="1"/>
  <c r="Q199" i="100" s="1"/>
  <c r="P199" i="100" a="1"/>
  <c r="P199" i="100" s="1"/>
  <c r="O199" i="100" a="1"/>
  <c r="O199" i="100" s="1"/>
  <c r="N199" i="100" a="1"/>
  <c r="N199" i="100" s="1"/>
  <c r="M199" i="100" a="1"/>
  <c r="M199" i="100" s="1"/>
  <c r="L199" i="100" a="1"/>
  <c r="L199" i="100" s="1"/>
  <c r="K199" i="100" a="1"/>
  <c r="K199" i="100" s="1"/>
  <c r="J199" i="100" a="1"/>
  <c r="J199" i="100" s="1"/>
  <c r="I199" i="100" a="1"/>
  <c r="I199" i="100" s="1"/>
  <c r="H199" i="100" a="1"/>
  <c r="H199" i="100" s="1"/>
  <c r="G199" i="100" a="1"/>
  <c r="G199" i="100" s="1"/>
  <c r="F199" i="100" a="1"/>
  <c r="F199" i="100" s="1"/>
  <c r="E199" i="100" a="1"/>
  <c r="E199" i="100" s="1"/>
  <c r="D199" i="100" a="1"/>
  <c r="D199" i="100" s="1"/>
  <c r="AH198" i="100" a="1"/>
  <c r="AH198" i="100" s="1"/>
  <c r="AG198" i="100" a="1"/>
  <c r="AG198" i="100" s="1"/>
  <c r="AF198" i="100" a="1"/>
  <c r="AF198" i="100" s="1"/>
  <c r="AE198" i="100" a="1"/>
  <c r="AE198" i="100" s="1"/>
  <c r="AD198" i="100" a="1"/>
  <c r="AD198" i="100" s="1"/>
  <c r="AC198" i="100" a="1"/>
  <c r="AC198" i="100" s="1"/>
  <c r="AB198" i="100" a="1"/>
  <c r="AB198" i="100" s="1"/>
  <c r="AA198" i="100" a="1"/>
  <c r="AA198" i="100" s="1"/>
  <c r="Z198" i="100" a="1"/>
  <c r="Z198" i="100" s="1"/>
  <c r="Y198" i="100" a="1"/>
  <c r="Y198" i="100" s="1"/>
  <c r="X198" i="100" a="1"/>
  <c r="X198" i="100" s="1"/>
  <c r="W198" i="100" a="1"/>
  <c r="W198" i="100" s="1"/>
  <c r="V198" i="100" a="1"/>
  <c r="V198" i="100" s="1"/>
  <c r="U198" i="100" a="1"/>
  <c r="U198" i="100" s="1"/>
  <c r="T198" i="100" a="1"/>
  <c r="T198" i="100" s="1"/>
  <c r="S198" i="100" a="1"/>
  <c r="S198" i="100" s="1"/>
  <c r="R198" i="100" a="1"/>
  <c r="R198" i="100" s="1"/>
  <c r="Q198" i="100" a="1"/>
  <c r="Q198" i="100" s="1"/>
  <c r="P198" i="100" a="1"/>
  <c r="P198" i="100" s="1"/>
  <c r="O198" i="100" a="1"/>
  <c r="O198" i="100" s="1"/>
  <c r="N198" i="100" a="1"/>
  <c r="N198" i="100" s="1"/>
  <c r="M198" i="100" a="1"/>
  <c r="M198" i="100" s="1"/>
  <c r="L198" i="100" a="1"/>
  <c r="L198" i="100" s="1"/>
  <c r="K198" i="100" a="1"/>
  <c r="K198" i="100" s="1"/>
  <c r="J198" i="100" a="1"/>
  <c r="J198" i="100" s="1"/>
  <c r="I198" i="100" a="1"/>
  <c r="I198" i="100" s="1"/>
  <c r="H198" i="100" a="1"/>
  <c r="H198" i="100" s="1"/>
  <c r="G198" i="100" a="1"/>
  <c r="G198" i="100" s="1"/>
  <c r="F198" i="100" a="1"/>
  <c r="F198" i="100" s="1"/>
  <c r="E198" i="100" a="1"/>
  <c r="E198" i="100" s="1"/>
  <c r="D198" i="100" a="1"/>
  <c r="D198" i="100" s="1"/>
  <c r="AH197" i="100" a="1"/>
  <c r="AH197" i="100" s="1"/>
  <c r="AG197" i="100" a="1"/>
  <c r="AG197" i="100" s="1"/>
  <c r="AF197" i="100" a="1"/>
  <c r="AF197" i="100" s="1"/>
  <c r="AE197" i="100" a="1"/>
  <c r="AE197" i="100" s="1"/>
  <c r="AD197" i="100" a="1"/>
  <c r="AD197" i="100" s="1"/>
  <c r="AC197" i="100" a="1"/>
  <c r="AC197" i="100" s="1"/>
  <c r="AB197" i="100" a="1"/>
  <c r="AB197" i="100" s="1"/>
  <c r="AA197" i="100" a="1"/>
  <c r="AA197" i="100" s="1"/>
  <c r="Z197" i="100" a="1"/>
  <c r="Z197" i="100" s="1"/>
  <c r="Y197" i="100" a="1"/>
  <c r="Y197" i="100" s="1"/>
  <c r="X197" i="100" a="1"/>
  <c r="X197" i="100" s="1"/>
  <c r="W197" i="100" a="1"/>
  <c r="W197" i="100" s="1"/>
  <c r="V197" i="100" a="1"/>
  <c r="V197" i="100" s="1"/>
  <c r="U197" i="100" a="1"/>
  <c r="U197" i="100" s="1"/>
  <c r="T197" i="100" a="1"/>
  <c r="T197" i="100" s="1"/>
  <c r="S197" i="100" a="1"/>
  <c r="S197" i="100" s="1"/>
  <c r="R197" i="100" a="1"/>
  <c r="R197" i="100" s="1"/>
  <c r="Q197" i="100" a="1"/>
  <c r="Q197" i="100" s="1"/>
  <c r="P197" i="100" a="1"/>
  <c r="P197" i="100" s="1"/>
  <c r="O197" i="100" a="1"/>
  <c r="O197" i="100" s="1"/>
  <c r="N197" i="100" a="1"/>
  <c r="N197" i="100" s="1"/>
  <c r="M197" i="100" a="1"/>
  <c r="M197" i="100" s="1"/>
  <c r="L197" i="100" a="1"/>
  <c r="L197" i="100" s="1"/>
  <c r="K197" i="100" a="1"/>
  <c r="K197" i="100" s="1"/>
  <c r="J197" i="100" a="1"/>
  <c r="J197" i="100" s="1"/>
  <c r="I197" i="100" a="1"/>
  <c r="I197" i="100" s="1"/>
  <c r="H197" i="100" a="1"/>
  <c r="H197" i="100" s="1"/>
  <c r="G197" i="100" a="1"/>
  <c r="G197" i="100" s="1"/>
  <c r="F197" i="100" a="1"/>
  <c r="F197" i="100" s="1"/>
  <c r="E197" i="100" a="1"/>
  <c r="E197" i="100" s="1"/>
  <c r="D197" i="100" a="1"/>
  <c r="D197" i="100" s="1"/>
  <c r="AH196" i="100" a="1"/>
  <c r="AH196" i="100" s="1"/>
  <c r="AG196" i="100" a="1"/>
  <c r="AG196" i="100" s="1"/>
  <c r="AF196" i="100" a="1"/>
  <c r="AF196" i="100" s="1"/>
  <c r="AE196" i="100" a="1"/>
  <c r="AE196" i="100" s="1"/>
  <c r="AD196" i="100" a="1"/>
  <c r="AD196" i="100" s="1"/>
  <c r="AC196" i="100" a="1"/>
  <c r="AC196" i="100" s="1"/>
  <c r="AB196" i="100" a="1"/>
  <c r="AB196" i="100" s="1"/>
  <c r="AA196" i="100" a="1"/>
  <c r="AA196" i="100" s="1"/>
  <c r="Z196" i="100" a="1"/>
  <c r="Z196" i="100" s="1"/>
  <c r="Y196" i="100" a="1"/>
  <c r="Y196" i="100" s="1"/>
  <c r="X196" i="100" a="1"/>
  <c r="X196" i="100" s="1"/>
  <c r="W196" i="100" a="1"/>
  <c r="W196" i="100" s="1"/>
  <c r="V196" i="100" a="1"/>
  <c r="V196" i="100" s="1"/>
  <c r="U196" i="100" a="1"/>
  <c r="U196" i="100" s="1"/>
  <c r="T196" i="100" a="1"/>
  <c r="T196" i="100" s="1"/>
  <c r="S196" i="100" a="1"/>
  <c r="S196" i="100" s="1"/>
  <c r="R196" i="100" a="1"/>
  <c r="R196" i="100" s="1"/>
  <c r="Q196" i="100" a="1"/>
  <c r="Q196" i="100" s="1"/>
  <c r="P196" i="100" a="1"/>
  <c r="P196" i="100" s="1"/>
  <c r="O196" i="100" a="1"/>
  <c r="O196" i="100" s="1"/>
  <c r="N196" i="100" a="1"/>
  <c r="N196" i="100" s="1"/>
  <c r="M196" i="100" a="1"/>
  <c r="M196" i="100" s="1"/>
  <c r="L196" i="100" a="1"/>
  <c r="L196" i="100" s="1"/>
  <c r="K196" i="100" a="1"/>
  <c r="K196" i="100" s="1"/>
  <c r="J196" i="100" a="1"/>
  <c r="J196" i="100" s="1"/>
  <c r="I196" i="100" a="1"/>
  <c r="I196" i="100" s="1"/>
  <c r="H196" i="100" a="1"/>
  <c r="H196" i="100" s="1"/>
  <c r="G196" i="100" a="1"/>
  <c r="G196" i="100" s="1"/>
  <c r="F196" i="100" a="1"/>
  <c r="F196" i="100" s="1"/>
  <c r="E196" i="100" a="1"/>
  <c r="E196" i="100" s="1"/>
  <c r="D196" i="100" a="1"/>
  <c r="D196" i="100" s="1"/>
  <c r="AH195" i="100" a="1"/>
  <c r="AH195" i="100" s="1"/>
  <c r="AG195" i="100" a="1"/>
  <c r="AG195" i="100" s="1"/>
  <c r="AF195" i="100" a="1"/>
  <c r="AF195" i="100" s="1"/>
  <c r="AE195" i="100" a="1"/>
  <c r="AE195" i="100" s="1"/>
  <c r="AD195" i="100" a="1"/>
  <c r="AD195" i="100" s="1"/>
  <c r="AC195" i="100" a="1"/>
  <c r="AC195" i="100" s="1"/>
  <c r="AB195" i="100" a="1"/>
  <c r="AB195" i="100" s="1"/>
  <c r="AA195" i="100" a="1"/>
  <c r="AA195" i="100" s="1"/>
  <c r="Z195" i="100" a="1"/>
  <c r="Z195" i="100" s="1"/>
  <c r="Y195" i="100" a="1"/>
  <c r="Y195" i="100" s="1"/>
  <c r="X195" i="100" a="1"/>
  <c r="X195" i="100" s="1"/>
  <c r="W195" i="100" a="1"/>
  <c r="W195" i="100" s="1"/>
  <c r="V195" i="100" a="1"/>
  <c r="V195" i="100" s="1"/>
  <c r="U195" i="100" a="1"/>
  <c r="U195" i="100" s="1"/>
  <c r="T195" i="100" a="1"/>
  <c r="T195" i="100" s="1"/>
  <c r="S195" i="100" a="1"/>
  <c r="S195" i="100" s="1"/>
  <c r="R195" i="100" a="1"/>
  <c r="R195" i="100" s="1"/>
  <c r="Q195" i="100" a="1"/>
  <c r="Q195" i="100" s="1"/>
  <c r="P195" i="100" a="1"/>
  <c r="P195" i="100" s="1"/>
  <c r="O195" i="100" a="1"/>
  <c r="O195" i="100" s="1"/>
  <c r="N195" i="100" a="1"/>
  <c r="N195" i="100" s="1"/>
  <c r="M195" i="100" a="1"/>
  <c r="M195" i="100" s="1"/>
  <c r="L195" i="100" a="1"/>
  <c r="L195" i="100" s="1"/>
  <c r="K195" i="100" a="1"/>
  <c r="K195" i="100" s="1"/>
  <c r="J195" i="100" a="1"/>
  <c r="J195" i="100" s="1"/>
  <c r="I195" i="100" a="1"/>
  <c r="I195" i="100" s="1"/>
  <c r="H195" i="100" a="1"/>
  <c r="H195" i="100" s="1"/>
  <c r="G195" i="100" a="1"/>
  <c r="G195" i="100" s="1"/>
  <c r="F195" i="100" a="1"/>
  <c r="F195" i="100" s="1"/>
  <c r="E195" i="100" a="1"/>
  <c r="E195" i="100" s="1"/>
  <c r="D195" i="100" a="1"/>
  <c r="D195" i="100" s="1"/>
  <c r="AH194" i="100" a="1"/>
  <c r="AH194" i="100" s="1"/>
  <c r="AG194" i="100" a="1"/>
  <c r="AG194" i="100" s="1"/>
  <c r="AF194" i="100" a="1"/>
  <c r="AF194" i="100" s="1"/>
  <c r="AE194" i="100" a="1"/>
  <c r="AE194" i="100" s="1"/>
  <c r="AD194" i="100" a="1"/>
  <c r="AD194" i="100" s="1"/>
  <c r="AC194" i="100" a="1"/>
  <c r="AC194" i="100" s="1"/>
  <c r="AB194" i="100" a="1"/>
  <c r="AB194" i="100" s="1"/>
  <c r="AA194" i="100" a="1"/>
  <c r="AA194" i="100" s="1"/>
  <c r="Z194" i="100" a="1"/>
  <c r="Z194" i="100" s="1"/>
  <c r="Y194" i="100" a="1"/>
  <c r="Y194" i="100" s="1"/>
  <c r="X194" i="100" a="1"/>
  <c r="X194" i="100" s="1"/>
  <c r="W194" i="100" a="1"/>
  <c r="W194" i="100" s="1"/>
  <c r="V194" i="100" a="1"/>
  <c r="V194" i="100" s="1"/>
  <c r="U194" i="100" a="1"/>
  <c r="U194" i="100" s="1"/>
  <c r="T194" i="100" a="1"/>
  <c r="T194" i="100" s="1"/>
  <c r="S194" i="100" a="1"/>
  <c r="S194" i="100" s="1"/>
  <c r="R194" i="100" a="1"/>
  <c r="R194" i="100" s="1"/>
  <c r="Q194" i="100" a="1"/>
  <c r="Q194" i="100" s="1"/>
  <c r="P194" i="100" a="1"/>
  <c r="P194" i="100" s="1"/>
  <c r="O194" i="100" a="1"/>
  <c r="O194" i="100" s="1"/>
  <c r="N194" i="100" a="1"/>
  <c r="N194" i="100" s="1"/>
  <c r="M194" i="100" a="1"/>
  <c r="M194" i="100" s="1"/>
  <c r="L194" i="100" a="1"/>
  <c r="L194" i="100" s="1"/>
  <c r="K194" i="100" a="1"/>
  <c r="K194" i="100" s="1"/>
  <c r="J194" i="100" a="1"/>
  <c r="J194" i="100" s="1"/>
  <c r="I194" i="100" a="1"/>
  <c r="I194" i="100" s="1"/>
  <c r="H194" i="100" a="1"/>
  <c r="H194" i="100" s="1"/>
  <c r="G194" i="100" a="1"/>
  <c r="G194" i="100" s="1"/>
  <c r="F194" i="100" a="1"/>
  <c r="F194" i="100" s="1"/>
  <c r="E194" i="100" a="1"/>
  <c r="E194" i="100" s="1"/>
  <c r="D194" i="100" a="1"/>
  <c r="D194" i="100" s="1"/>
  <c r="AH193" i="100" a="1"/>
  <c r="AH193" i="100" s="1"/>
  <c r="AG193" i="100" a="1"/>
  <c r="AG193" i="100" s="1"/>
  <c r="AF193" i="100" a="1"/>
  <c r="AF193" i="100" s="1"/>
  <c r="AE193" i="100" a="1"/>
  <c r="AE193" i="100" s="1"/>
  <c r="AD193" i="100" a="1"/>
  <c r="AD193" i="100" s="1"/>
  <c r="AC193" i="100" a="1"/>
  <c r="AC193" i="100" s="1"/>
  <c r="AB193" i="100" a="1"/>
  <c r="AB193" i="100" s="1"/>
  <c r="AA193" i="100" a="1"/>
  <c r="AA193" i="100" s="1"/>
  <c r="Z193" i="100" a="1"/>
  <c r="Z193" i="100" s="1"/>
  <c r="Y193" i="100" a="1"/>
  <c r="Y193" i="100" s="1"/>
  <c r="X193" i="100" a="1"/>
  <c r="X193" i="100" s="1"/>
  <c r="W193" i="100" a="1"/>
  <c r="W193" i="100" s="1"/>
  <c r="V193" i="100" a="1"/>
  <c r="V193" i="100" s="1"/>
  <c r="U193" i="100" a="1"/>
  <c r="U193" i="100" s="1"/>
  <c r="T193" i="100" a="1"/>
  <c r="T193" i="100" s="1"/>
  <c r="S193" i="100" a="1"/>
  <c r="S193" i="100" s="1"/>
  <c r="R193" i="100" a="1"/>
  <c r="R193" i="100" s="1"/>
  <c r="Q193" i="100" a="1"/>
  <c r="Q193" i="100" s="1"/>
  <c r="P193" i="100" a="1"/>
  <c r="P193" i="100" s="1"/>
  <c r="O193" i="100" a="1"/>
  <c r="O193" i="100" s="1"/>
  <c r="N193" i="100" a="1"/>
  <c r="N193" i="100" s="1"/>
  <c r="M193" i="100" a="1"/>
  <c r="M193" i="100" s="1"/>
  <c r="L193" i="100" a="1"/>
  <c r="L193" i="100" s="1"/>
  <c r="K193" i="100" a="1"/>
  <c r="K193" i="100" s="1"/>
  <c r="J193" i="100" a="1"/>
  <c r="J193" i="100" s="1"/>
  <c r="I193" i="100" a="1"/>
  <c r="I193" i="100" s="1"/>
  <c r="H193" i="100" a="1"/>
  <c r="H193" i="100" s="1"/>
  <c r="G193" i="100" a="1"/>
  <c r="G193" i="100" s="1"/>
  <c r="F193" i="100" a="1"/>
  <c r="F193" i="100" s="1"/>
  <c r="E193" i="100" a="1"/>
  <c r="E193" i="100" s="1"/>
  <c r="D193" i="100" a="1"/>
  <c r="D193" i="100" s="1"/>
  <c r="AH192" i="100" a="1"/>
  <c r="AH192" i="100" s="1"/>
  <c r="AG192" i="100" a="1"/>
  <c r="AG192" i="100" s="1"/>
  <c r="AF192" i="100" a="1"/>
  <c r="AF192" i="100" s="1"/>
  <c r="AE192" i="100" a="1"/>
  <c r="AE192" i="100" s="1"/>
  <c r="AD192" i="100" a="1"/>
  <c r="AD192" i="100" s="1"/>
  <c r="AC192" i="100" a="1"/>
  <c r="AC192" i="100" s="1"/>
  <c r="AB192" i="100" a="1"/>
  <c r="AB192" i="100" s="1"/>
  <c r="AA192" i="100" a="1"/>
  <c r="AA192" i="100" s="1"/>
  <c r="Z192" i="100" a="1"/>
  <c r="Z192" i="100" s="1"/>
  <c r="Y192" i="100" a="1"/>
  <c r="Y192" i="100" s="1"/>
  <c r="X192" i="100" a="1"/>
  <c r="X192" i="100" s="1"/>
  <c r="W192" i="100" a="1"/>
  <c r="W192" i="100" s="1"/>
  <c r="V192" i="100" a="1"/>
  <c r="V192" i="100" s="1"/>
  <c r="U192" i="100" a="1"/>
  <c r="U192" i="100" s="1"/>
  <c r="T192" i="100" a="1"/>
  <c r="T192" i="100" s="1"/>
  <c r="S192" i="100" a="1"/>
  <c r="S192" i="100" s="1"/>
  <c r="R192" i="100" a="1"/>
  <c r="R192" i="100" s="1"/>
  <c r="Q192" i="100" a="1"/>
  <c r="Q192" i="100" s="1"/>
  <c r="P192" i="100" a="1"/>
  <c r="P192" i="100" s="1"/>
  <c r="O192" i="100" a="1"/>
  <c r="O192" i="100" s="1"/>
  <c r="N192" i="100" a="1"/>
  <c r="N192" i="100" s="1"/>
  <c r="M192" i="100" a="1"/>
  <c r="M192" i="100" s="1"/>
  <c r="L192" i="100" a="1"/>
  <c r="L192" i="100" s="1"/>
  <c r="K192" i="100" a="1"/>
  <c r="K192" i="100" s="1"/>
  <c r="J192" i="100" a="1"/>
  <c r="J192" i="100" s="1"/>
  <c r="I192" i="100" a="1"/>
  <c r="I192" i="100" s="1"/>
  <c r="H192" i="100" a="1"/>
  <c r="H192" i="100" s="1"/>
  <c r="G192" i="100" a="1"/>
  <c r="G192" i="100" s="1"/>
  <c r="F192" i="100" a="1"/>
  <c r="F192" i="100" s="1"/>
  <c r="E192" i="100" a="1"/>
  <c r="E192" i="100" s="1"/>
  <c r="D192" i="100" a="1"/>
  <c r="D192" i="100" s="1"/>
  <c r="AH191" i="100" a="1"/>
  <c r="AH191" i="100" s="1"/>
  <c r="AG191" i="100" a="1"/>
  <c r="AG191" i="100" s="1"/>
  <c r="AF191" i="100" a="1"/>
  <c r="AF191" i="100" s="1"/>
  <c r="AE191" i="100" a="1"/>
  <c r="AE191" i="100" s="1"/>
  <c r="AD191" i="100" a="1"/>
  <c r="AD191" i="100" s="1"/>
  <c r="AC191" i="100" a="1"/>
  <c r="AC191" i="100" s="1"/>
  <c r="AB191" i="100" a="1"/>
  <c r="AB191" i="100" s="1"/>
  <c r="AA191" i="100" a="1"/>
  <c r="AA191" i="100" s="1"/>
  <c r="Z191" i="100" a="1"/>
  <c r="Z191" i="100" s="1"/>
  <c r="Y191" i="100" a="1"/>
  <c r="Y191" i="100" s="1"/>
  <c r="X191" i="100" a="1"/>
  <c r="X191" i="100" s="1"/>
  <c r="W191" i="100" a="1"/>
  <c r="W191" i="100" s="1"/>
  <c r="V191" i="100" a="1"/>
  <c r="V191" i="100" s="1"/>
  <c r="U191" i="100" a="1"/>
  <c r="U191" i="100" s="1"/>
  <c r="T191" i="100" a="1"/>
  <c r="T191" i="100" s="1"/>
  <c r="S191" i="100" a="1"/>
  <c r="S191" i="100" s="1"/>
  <c r="R191" i="100" a="1"/>
  <c r="R191" i="100" s="1"/>
  <c r="Q191" i="100" a="1"/>
  <c r="Q191" i="100" s="1"/>
  <c r="P191" i="100" a="1"/>
  <c r="P191" i="100" s="1"/>
  <c r="O191" i="100" a="1"/>
  <c r="O191" i="100" s="1"/>
  <c r="N191" i="100" a="1"/>
  <c r="N191" i="100" s="1"/>
  <c r="M191" i="100" a="1"/>
  <c r="M191" i="100" s="1"/>
  <c r="L191" i="100" a="1"/>
  <c r="L191" i="100" s="1"/>
  <c r="K191" i="100" a="1"/>
  <c r="K191" i="100" s="1"/>
  <c r="J191" i="100" a="1"/>
  <c r="J191" i="100" s="1"/>
  <c r="I191" i="100" a="1"/>
  <c r="I191" i="100" s="1"/>
  <c r="H191" i="100" a="1"/>
  <c r="H191" i="100" s="1"/>
  <c r="G191" i="100" a="1"/>
  <c r="G191" i="100" s="1"/>
  <c r="F191" i="100" a="1"/>
  <c r="F191" i="100" s="1"/>
  <c r="E191" i="100" a="1"/>
  <c r="E191" i="100" s="1"/>
  <c r="D191" i="100" a="1"/>
  <c r="D191" i="100" s="1"/>
  <c r="AH190" i="100" a="1"/>
  <c r="AH190" i="100" s="1"/>
  <c r="AG190" i="100" a="1"/>
  <c r="AG190" i="100" s="1"/>
  <c r="AF190" i="100" a="1"/>
  <c r="AF190" i="100" s="1"/>
  <c r="AE190" i="100" a="1"/>
  <c r="AE190" i="100" s="1"/>
  <c r="AD190" i="100" a="1"/>
  <c r="AD190" i="100" s="1"/>
  <c r="AC190" i="100" a="1"/>
  <c r="AC190" i="100" s="1"/>
  <c r="AB190" i="100" a="1"/>
  <c r="AB190" i="100" s="1"/>
  <c r="AA190" i="100" a="1"/>
  <c r="AA190" i="100" s="1"/>
  <c r="Z190" i="100" a="1"/>
  <c r="Z190" i="100" s="1"/>
  <c r="Y190" i="100" a="1"/>
  <c r="Y190" i="100" s="1"/>
  <c r="X190" i="100" a="1"/>
  <c r="X190" i="100" s="1"/>
  <c r="W190" i="100" a="1"/>
  <c r="W190" i="100" s="1"/>
  <c r="V190" i="100" a="1"/>
  <c r="V190" i="100" s="1"/>
  <c r="U190" i="100" a="1"/>
  <c r="U190" i="100" s="1"/>
  <c r="T190" i="100" a="1"/>
  <c r="T190" i="100" s="1"/>
  <c r="S190" i="100" a="1"/>
  <c r="S190" i="100" s="1"/>
  <c r="R190" i="100" a="1"/>
  <c r="R190" i="100" s="1"/>
  <c r="Q190" i="100" a="1"/>
  <c r="Q190" i="100" s="1"/>
  <c r="P190" i="100" a="1"/>
  <c r="P190" i="100" s="1"/>
  <c r="O190" i="100" a="1"/>
  <c r="O190" i="100" s="1"/>
  <c r="N190" i="100" a="1"/>
  <c r="N190" i="100" s="1"/>
  <c r="M190" i="100" a="1"/>
  <c r="M190" i="100" s="1"/>
  <c r="L190" i="100" a="1"/>
  <c r="L190" i="100" s="1"/>
  <c r="K190" i="100" a="1"/>
  <c r="K190" i="100" s="1"/>
  <c r="J190" i="100" a="1"/>
  <c r="J190" i="100" s="1"/>
  <c r="I190" i="100" a="1"/>
  <c r="I190" i="100" s="1"/>
  <c r="H190" i="100" a="1"/>
  <c r="H190" i="100" s="1"/>
  <c r="G190" i="100" a="1"/>
  <c r="G190" i="100" s="1"/>
  <c r="F190" i="100" a="1"/>
  <c r="F190" i="100" s="1"/>
  <c r="E190" i="100" a="1"/>
  <c r="E190" i="100" s="1"/>
  <c r="D190" i="100" a="1"/>
  <c r="D190" i="100" s="1"/>
  <c r="AH189" i="100" a="1"/>
  <c r="AH189" i="100" s="1"/>
  <c r="AG189" i="100" a="1"/>
  <c r="AG189" i="100" s="1"/>
  <c r="AF189" i="100" a="1"/>
  <c r="AF189" i="100" s="1"/>
  <c r="AE189" i="100" a="1"/>
  <c r="AE189" i="100" s="1"/>
  <c r="AD189" i="100" a="1"/>
  <c r="AD189" i="100" s="1"/>
  <c r="AC189" i="100" a="1"/>
  <c r="AC189" i="100" s="1"/>
  <c r="AB189" i="100" a="1"/>
  <c r="AB189" i="100" s="1"/>
  <c r="AA189" i="100" a="1"/>
  <c r="AA189" i="100" s="1"/>
  <c r="Z189" i="100" a="1"/>
  <c r="Z189" i="100" s="1"/>
  <c r="Y189" i="100" a="1"/>
  <c r="Y189" i="100" s="1"/>
  <c r="X189" i="100" a="1"/>
  <c r="X189" i="100" s="1"/>
  <c r="W189" i="100" a="1"/>
  <c r="W189" i="100" s="1"/>
  <c r="V189" i="100" a="1"/>
  <c r="V189" i="100" s="1"/>
  <c r="U189" i="100" a="1"/>
  <c r="U189" i="100" s="1"/>
  <c r="T189" i="100" a="1"/>
  <c r="T189" i="100" s="1"/>
  <c r="S189" i="100" a="1"/>
  <c r="S189" i="100" s="1"/>
  <c r="R189" i="100" a="1"/>
  <c r="R189" i="100" s="1"/>
  <c r="Q189" i="100" a="1"/>
  <c r="Q189" i="100" s="1"/>
  <c r="P189" i="100" a="1"/>
  <c r="P189" i="100" s="1"/>
  <c r="O189" i="100" a="1"/>
  <c r="O189" i="100" s="1"/>
  <c r="N189" i="100" a="1"/>
  <c r="N189" i="100" s="1"/>
  <c r="M189" i="100" a="1"/>
  <c r="M189" i="100" s="1"/>
  <c r="L189" i="100" a="1"/>
  <c r="L189" i="100" s="1"/>
  <c r="K189" i="100" a="1"/>
  <c r="K189" i="100" s="1"/>
  <c r="J189" i="100" a="1"/>
  <c r="J189" i="100" s="1"/>
  <c r="I189" i="100" a="1"/>
  <c r="I189" i="100" s="1"/>
  <c r="H189" i="100" a="1"/>
  <c r="H189" i="100" s="1"/>
  <c r="G189" i="100" a="1"/>
  <c r="G189" i="100" s="1"/>
  <c r="F189" i="100" a="1"/>
  <c r="F189" i="100" s="1"/>
  <c r="E189" i="100" a="1"/>
  <c r="E189" i="100" s="1"/>
  <c r="D189" i="100" a="1"/>
  <c r="D189" i="100" s="1"/>
  <c r="AH188" i="100" a="1"/>
  <c r="AH188" i="100" s="1"/>
  <c r="AG188" i="100" a="1"/>
  <c r="AG188" i="100" s="1"/>
  <c r="AF188" i="100" a="1"/>
  <c r="AF188" i="100" s="1"/>
  <c r="AE188" i="100" a="1"/>
  <c r="AE188" i="100" s="1"/>
  <c r="AD188" i="100" a="1"/>
  <c r="AD188" i="100" s="1"/>
  <c r="AC188" i="100" a="1"/>
  <c r="AC188" i="100" s="1"/>
  <c r="AB188" i="100" a="1"/>
  <c r="AB188" i="100" s="1"/>
  <c r="AA188" i="100" a="1"/>
  <c r="AA188" i="100" s="1"/>
  <c r="Z188" i="100" a="1"/>
  <c r="Z188" i="100" s="1"/>
  <c r="Y188" i="100" a="1"/>
  <c r="Y188" i="100" s="1"/>
  <c r="X188" i="100" a="1"/>
  <c r="X188" i="100" s="1"/>
  <c r="W188" i="100" a="1"/>
  <c r="W188" i="100" s="1"/>
  <c r="V188" i="100" a="1"/>
  <c r="V188" i="100" s="1"/>
  <c r="U188" i="100" a="1"/>
  <c r="U188" i="100" s="1"/>
  <c r="T188" i="100" a="1"/>
  <c r="T188" i="100" s="1"/>
  <c r="S188" i="100" a="1"/>
  <c r="S188" i="100" s="1"/>
  <c r="R188" i="100" a="1"/>
  <c r="R188" i="100" s="1"/>
  <c r="Q188" i="100" a="1"/>
  <c r="Q188" i="100" s="1"/>
  <c r="P188" i="100" a="1"/>
  <c r="P188" i="100" s="1"/>
  <c r="O188" i="100" a="1"/>
  <c r="O188" i="100" s="1"/>
  <c r="N188" i="100" a="1"/>
  <c r="N188" i="100" s="1"/>
  <c r="M188" i="100" a="1"/>
  <c r="M188" i="100" s="1"/>
  <c r="L188" i="100" a="1"/>
  <c r="L188" i="100" s="1"/>
  <c r="K188" i="100" a="1"/>
  <c r="K188" i="100" s="1"/>
  <c r="J188" i="100" a="1"/>
  <c r="J188" i="100" s="1"/>
  <c r="I188" i="100" a="1"/>
  <c r="I188" i="100" s="1"/>
  <c r="H188" i="100" a="1"/>
  <c r="H188" i="100" s="1"/>
  <c r="G188" i="100" a="1"/>
  <c r="G188" i="100" s="1"/>
  <c r="F188" i="100" a="1"/>
  <c r="F188" i="100" s="1"/>
  <c r="E188" i="100" a="1"/>
  <c r="E188" i="100" s="1"/>
  <c r="D188" i="100" a="1"/>
  <c r="D188" i="100" s="1"/>
  <c r="AH187" i="100" a="1"/>
  <c r="AH187" i="100" s="1"/>
  <c r="AG187" i="100" a="1"/>
  <c r="AG187" i="100" s="1"/>
  <c r="AF187" i="100" a="1"/>
  <c r="AF187" i="100" s="1"/>
  <c r="AE187" i="100" a="1"/>
  <c r="AE187" i="100" s="1"/>
  <c r="AD187" i="100" a="1"/>
  <c r="AD187" i="100" s="1"/>
  <c r="AC187" i="100" a="1"/>
  <c r="AC187" i="100" s="1"/>
  <c r="AB187" i="100" a="1"/>
  <c r="AB187" i="100" s="1"/>
  <c r="AA187" i="100" a="1"/>
  <c r="AA187" i="100" s="1"/>
  <c r="Z187" i="100" a="1"/>
  <c r="Z187" i="100" s="1"/>
  <c r="Y187" i="100" a="1"/>
  <c r="Y187" i="100" s="1"/>
  <c r="X187" i="100" a="1"/>
  <c r="X187" i="100" s="1"/>
  <c r="W187" i="100" a="1"/>
  <c r="W187" i="100" s="1"/>
  <c r="V187" i="100" a="1"/>
  <c r="V187" i="100" s="1"/>
  <c r="U187" i="100" a="1"/>
  <c r="U187" i="100" s="1"/>
  <c r="T187" i="100" a="1"/>
  <c r="T187" i="100" s="1"/>
  <c r="S187" i="100" a="1"/>
  <c r="S187" i="100" s="1"/>
  <c r="R187" i="100" a="1"/>
  <c r="R187" i="100" s="1"/>
  <c r="Q187" i="100" a="1"/>
  <c r="Q187" i="100" s="1"/>
  <c r="P187" i="100" a="1"/>
  <c r="P187" i="100" s="1"/>
  <c r="O187" i="100" a="1"/>
  <c r="O187" i="100" s="1"/>
  <c r="N187" i="100" a="1"/>
  <c r="N187" i="100" s="1"/>
  <c r="M187" i="100" a="1"/>
  <c r="M187" i="100" s="1"/>
  <c r="L187" i="100" a="1"/>
  <c r="L187" i="100" s="1"/>
  <c r="K187" i="100" a="1"/>
  <c r="K187" i="100" s="1"/>
  <c r="J187" i="100" a="1"/>
  <c r="J187" i="100" s="1"/>
  <c r="I187" i="100" a="1"/>
  <c r="I187" i="100" s="1"/>
  <c r="H187" i="100" a="1"/>
  <c r="H187" i="100" s="1"/>
  <c r="G187" i="100" a="1"/>
  <c r="G187" i="100" s="1"/>
  <c r="F187" i="100" a="1"/>
  <c r="F187" i="100" s="1"/>
  <c r="E187" i="100" a="1"/>
  <c r="E187" i="100" s="1"/>
  <c r="D187" i="100" a="1"/>
  <c r="D187" i="100" s="1"/>
  <c r="AH186" i="100" a="1"/>
  <c r="AH186" i="100" s="1"/>
  <c r="AG186" i="100" a="1"/>
  <c r="AG186" i="100" s="1"/>
  <c r="AF186" i="100" a="1"/>
  <c r="AF186" i="100" s="1"/>
  <c r="AE186" i="100" a="1"/>
  <c r="AE186" i="100" s="1"/>
  <c r="AD186" i="100" a="1"/>
  <c r="AD186" i="100" s="1"/>
  <c r="AC186" i="100" a="1"/>
  <c r="AC186" i="100" s="1"/>
  <c r="AB186" i="100" a="1"/>
  <c r="AB186" i="100" s="1"/>
  <c r="AA186" i="100" a="1"/>
  <c r="AA186" i="100" s="1"/>
  <c r="Z186" i="100" a="1"/>
  <c r="Z186" i="100" s="1"/>
  <c r="Y186" i="100" a="1"/>
  <c r="Y186" i="100" s="1"/>
  <c r="X186" i="100" a="1"/>
  <c r="X186" i="100" s="1"/>
  <c r="W186" i="100" a="1"/>
  <c r="W186" i="100" s="1"/>
  <c r="V186" i="100" a="1"/>
  <c r="V186" i="100" s="1"/>
  <c r="U186" i="100" a="1"/>
  <c r="U186" i="100" s="1"/>
  <c r="T186" i="100" a="1"/>
  <c r="T186" i="100" s="1"/>
  <c r="S186" i="100" a="1"/>
  <c r="S186" i="100" s="1"/>
  <c r="R186" i="100" a="1"/>
  <c r="R186" i="100" s="1"/>
  <c r="Q186" i="100" a="1"/>
  <c r="Q186" i="100" s="1"/>
  <c r="P186" i="100" a="1"/>
  <c r="P186" i="100" s="1"/>
  <c r="O186" i="100" a="1"/>
  <c r="O186" i="100" s="1"/>
  <c r="N186" i="100" a="1"/>
  <c r="N186" i="100" s="1"/>
  <c r="M186" i="100" a="1"/>
  <c r="M186" i="100" s="1"/>
  <c r="L186" i="100" a="1"/>
  <c r="L186" i="100" s="1"/>
  <c r="K186" i="100" a="1"/>
  <c r="K186" i="100" s="1"/>
  <c r="J186" i="100" a="1"/>
  <c r="J186" i="100" s="1"/>
  <c r="I186" i="100" a="1"/>
  <c r="I186" i="100" s="1"/>
  <c r="H186" i="100" a="1"/>
  <c r="H186" i="100" s="1"/>
  <c r="G186" i="100" a="1"/>
  <c r="G186" i="100" s="1"/>
  <c r="F186" i="100" a="1"/>
  <c r="F186" i="100" s="1"/>
  <c r="E186" i="100" a="1"/>
  <c r="E186" i="100" s="1"/>
  <c r="D186" i="100" a="1"/>
  <c r="D186" i="100" s="1"/>
  <c r="AH185" i="100" a="1"/>
  <c r="AH185" i="100" s="1"/>
  <c r="AG185" i="100" a="1"/>
  <c r="AG185" i="100" s="1"/>
  <c r="AF185" i="100" a="1"/>
  <c r="AF185" i="100" s="1"/>
  <c r="AE185" i="100" a="1"/>
  <c r="AE185" i="100" s="1"/>
  <c r="AD185" i="100" a="1"/>
  <c r="AD185" i="100" s="1"/>
  <c r="AC185" i="100" a="1"/>
  <c r="AC185" i="100" s="1"/>
  <c r="AB185" i="100" a="1"/>
  <c r="AB185" i="100" s="1"/>
  <c r="AA185" i="100" a="1"/>
  <c r="AA185" i="100" s="1"/>
  <c r="Z185" i="100" a="1"/>
  <c r="Z185" i="100" s="1"/>
  <c r="Y185" i="100" a="1"/>
  <c r="Y185" i="100" s="1"/>
  <c r="X185" i="100" a="1"/>
  <c r="X185" i="100" s="1"/>
  <c r="W185" i="100" a="1"/>
  <c r="W185" i="100" s="1"/>
  <c r="V185" i="100" a="1"/>
  <c r="V185" i="100" s="1"/>
  <c r="U185" i="100" a="1"/>
  <c r="U185" i="100" s="1"/>
  <c r="T185" i="100" a="1"/>
  <c r="T185" i="100" s="1"/>
  <c r="S185" i="100" a="1"/>
  <c r="S185" i="100" s="1"/>
  <c r="R185" i="100" a="1"/>
  <c r="R185" i="100" s="1"/>
  <c r="Q185" i="100" a="1"/>
  <c r="Q185" i="100" s="1"/>
  <c r="P185" i="100" a="1"/>
  <c r="P185" i="100" s="1"/>
  <c r="O185" i="100" a="1"/>
  <c r="O185" i="100" s="1"/>
  <c r="N185" i="100" a="1"/>
  <c r="N185" i="100" s="1"/>
  <c r="M185" i="100" a="1"/>
  <c r="M185" i="100" s="1"/>
  <c r="L185" i="100" a="1"/>
  <c r="L185" i="100" s="1"/>
  <c r="K185" i="100" a="1"/>
  <c r="K185" i="100" s="1"/>
  <c r="J185" i="100" a="1"/>
  <c r="J185" i="100" s="1"/>
  <c r="I185" i="100" a="1"/>
  <c r="I185" i="100" s="1"/>
  <c r="H185" i="100" a="1"/>
  <c r="H185" i="100" s="1"/>
  <c r="G185" i="100" a="1"/>
  <c r="G185" i="100" s="1"/>
  <c r="F185" i="100" a="1"/>
  <c r="F185" i="100" s="1"/>
  <c r="E185" i="100" a="1"/>
  <c r="E185" i="100" s="1"/>
  <c r="D185" i="100" a="1"/>
  <c r="D185" i="100" s="1"/>
  <c r="AH184" i="100" a="1"/>
  <c r="AH184" i="100" s="1"/>
  <c r="AG184" i="100" a="1"/>
  <c r="AG184" i="100" s="1"/>
  <c r="AF184" i="100" a="1"/>
  <c r="AF184" i="100" s="1"/>
  <c r="AE184" i="100" a="1"/>
  <c r="AE184" i="100" s="1"/>
  <c r="AD184" i="100" a="1"/>
  <c r="AD184" i="100" s="1"/>
  <c r="AC184" i="100" a="1"/>
  <c r="AC184" i="100" s="1"/>
  <c r="AB184" i="100" a="1"/>
  <c r="AB184" i="100" s="1"/>
  <c r="AA184" i="100" a="1"/>
  <c r="AA184" i="100" s="1"/>
  <c r="Z184" i="100" a="1"/>
  <c r="Z184" i="100" s="1"/>
  <c r="Y184" i="100" a="1"/>
  <c r="Y184" i="100" s="1"/>
  <c r="X184" i="100" a="1"/>
  <c r="X184" i="100" s="1"/>
  <c r="W184" i="100" a="1"/>
  <c r="W184" i="100" s="1"/>
  <c r="V184" i="100" a="1"/>
  <c r="V184" i="100" s="1"/>
  <c r="U184" i="100" a="1"/>
  <c r="U184" i="100" s="1"/>
  <c r="T184" i="100" a="1"/>
  <c r="T184" i="100" s="1"/>
  <c r="S184" i="100" a="1"/>
  <c r="S184" i="100" s="1"/>
  <c r="R184" i="100" a="1"/>
  <c r="R184" i="100" s="1"/>
  <c r="Q184" i="100" a="1"/>
  <c r="Q184" i="100" s="1"/>
  <c r="P184" i="100" a="1"/>
  <c r="P184" i="100" s="1"/>
  <c r="O184" i="100" a="1"/>
  <c r="O184" i="100" s="1"/>
  <c r="N184" i="100" a="1"/>
  <c r="N184" i="100" s="1"/>
  <c r="M184" i="100" a="1"/>
  <c r="M184" i="100" s="1"/>
  <c r="L184" i="100" a="1"/>
  <c r="L184" i="100" s="1"/>
  <c r="K184" i="100" a="1"/>
  <c r="K184" i="100" s="1"/>
  <c r="J184" i="100" a="1"/>
  <c r="J184" i="100" s="1"/>
  <c r="I184" i="100" a="1"/>
  <c r="I184" i="100" s="1"/>
  <c r="H184" i="100" a="1"/>
  <c r="H184" i="100" s="1"/>
  <c r="G184" i="100" a="1"/>
  <c r="G184" i="100" s="1"/>
  <c r="F184" i="100" a="1"/>
  <c r="F184" i="100" s="1"/>
  <c r="E184" i="100" a="1"/>
  <c r="E184" i="100" s="1"/>
  <c r="D184" i="100" a="1"/>
  <c r="D184" i="100" s="1"/>
  <c r="AH183" i="100" a="1"/>
  <c r="AH183" i="100" s="1"/>
  <c r="AG183" i="100" a="1"/>
  <c r="AG183" i="100" s="1"/>
  <c r="AF183" i="100" a="1"/>
  <c r="AF183" i="100" s="1"/>
  <c r="AE183" i="100" a="1"/>
  <c r="AE183" i="100" s="1"/>
  <c r="AD183" i="100" a="1"/>
  <c r="AD183" i="100" s="1"/>
  <c r="AC183" i="100" a="1"/>
  <c r="AC183" i="100" s="1"/>
  <c r="AB183" i="100" a="1"/>
  <c r="AB183" i="100" s="1"/>
  <c r="AA183" i="100" a="1"/>
  <c r="AA183" i="100" s="1"/>
  <c r="Z183" i="100" a="1"/>
  <c r="Z183" i="100" s="1"/>
  <c r="Y183" i="100" a="1"/>
  <c r="Y183" i="100" s="1"/>
  <c r="X183" i="100" a="1"/>
  <c r="X183" i="100" s="1"/>
  <c r="W183" i="100" a="1"/>
  <c r="W183" i="100" s="1"/>
  <c r="V183" i="100" a="1"/>
  <c r="V183" i="100" s="1"/>
  <c r="U183" i="100" a="1"/>
  <c r="U183" i="100" s="1"/>
  <c r="T183" i="100" a="1"/>
  <c r="T183" i="100" s="1"/>
  <c r="S183" i="100" a="1"/>
  <c r="S183" i="100" s="1"/>
  <c r="R183" i="100" a="1"/>
  <c r="R183" i="100" s="1"/>
  <c r="Q183" i="100" a="1"/>
  <c r="Q183" i="100" s="1"/>
  <c r="P183" i="100" a="1"/>
  <c r="P183" i="100" s="1"/>
  <c r="O183" i="100" a="1"/>
  <c r="O183" i="100" s="1"/>
  <c r="N183" i="100" a="1"/>
  <c r="N183" i="100" s="1"/>
  <c r="M183" i="100" a="1"/>
  <c r="M183" i="100" s="1"/>
  <c r="L183" i="100" a="1"/>
  <c r="L183" i="100" s="1"/>
  <c r="K183" i="100" a="1"/>
  <c r="K183" i="100" s="1"/>
  <c r="J183" i="100" a="1"/>
  <c r="J183" i="100" s="1"/>
  <c r="I183" i="100" a="1"/>
  <c r="I183" i="100" s="1"/>
  <c r="H183" i="100" a="1"/>
  <c r="H183" i="100" s="1"/>
  <c r="G183" i="100" a="1"/>
  <c r="G183" i="100" s="1"/>
  <c r="F183" i="100" a="1"/>
  <c r="F183" i="100" s="1"/>
  <c r="E183" i="100" a="1"/>
  <c r="E183" i="100" s="1"/>
  <c r="D183" i="100" a="1"/>
  <c r="D183" i="100" s="1"/>
  <c r="AH182" i="100" a="1"/>
  <c r="AH182" i="100" s="1"/>
  <c r="AG182" i="100" a="1"/>
  <c r="AG182" i="100" s="1"/>
  <c r="AF182" i="100" a="1"/>
  <c r="AF182" i="100" s="1"/>
  <c r="AE182" i="100" a="1"/>
  <c r="AE182" i="100" s="1"/>
  <c r="AD182" i="100" a="1"/>
  <c r="AD182" i="100" s="1"/>
  <c r="AC182" i="100" a="1"/>
  <c r="AC182" i="100" s="1"/>
  <c r="AB182" i="100" a="1"/>
  <c r="AB182" i="100" s="1"/>
  <c r="AA182" i="100" a="1"/>
  <c r="AA182" i="100" s="1"/>
  <c r="Z182" i="100" a="1"/>
  <c r="Z182" i="100" s="1"/>
  <c r="Y182" i="100" a="1"/>
  <c r="Y182" i="100" s="1"/>
  <c r="X182" i="100" a="1"/>
  <c r="X182" i="100" s="1"/>
  <c r="W182" i="100" a="1"/>
  <c r="W182" i="100" s="1"/>
  <c r="V182" i="100" a="1"/>
  <c r="V182" i="100" s="1"/>
  <c r="U182" i="100" a="1"/>
  <c r="U182" i="100" s="1"/>
  <c r="T182" i="100" a="1"/>
  <c r="T182" i="100" s="1"/>
  <c r="S182" i="100" a="1"/>
  <c r="S182" i="100" s="1"/>
  <c r="R182" i="100" a="1"/>
  <c r="R182" i="100" s="1"/>
  <c r="Q182" i="100" a="1"/>
  <c r="Q182" i="100" s="1"/>
  <c r="P182" i="100" a="1"/>
  <c r="P182" i="100" s="1"/>
  <c r="O182" i="100" a="1"/>
  <c r="O182" i="100" s="1"/>
  <c r="N182" i="100" a="1"/>
  <c r="N182" i="100" s="1"/>
  <c r="M182" i="100" a="1"/>
  <c r="M182" i="100" s="1"/>
  <c r="L182" i="100" a="1"/>
  <c r="L182" i="100" s="1"/>
  <c r="K182" i="100" a="1"/>
  <c r="K182" i="100" s="1"/>
  <c r="J182" i="100" a="1"/>
  <c r="J182" i="100" s="1"/>
  <c r="I182" i="100" a="1"/>
  <c r="I182" i="100" s="1"/>
  <c r="H182" i="100" a="1"/>
  <c r="H182" i="100" s="1"/>
  <c r="G182" i="100" a="1"/>
  <c r="G182" i="100" s="1"/>
  <c r="F182" i="100" a="1"/>
  <c r="F182" i="100" s="1"/>
  <c r="E182" i="100" a="1"/>
  <c r="E182" i="100" s="1"/>
  <c r="D182" i="100" a="1"/>
  <c r="D182" i="100" s="1"/>
  <c r="AH181" i="100" a="1"/>
  <c r="AH181" i="100" s="1"/>
  <c r="AG181" i="100" a="1"/>
  <c r="AG181" i="100" s="1"/>
  <c r="AF181" i="100" a="1"/>
  <c r="AF181" i="100" s="1"/>
  <c r="AE181" i="100" a="1"/>
  <c r="AE181" i="100" s="1"/>
  <c r="AD181" i="100" a="1"/>
  <c r="AD181" i="100" s="1"/>
  <c r="AC181" i="100" a="1"/>
  <c r="AC181" i="100" s="1"/>
  <c r="AB181" i="100" a="1"/>
  <c r="AB181" i="100" s="1"/>
  <c r="AA181" i="100" a="1"/>
  <c r="AA181" i="100" s="1"/>
  <c r="Z181" i="100" a="1"/>
  <c r="Z181" i="100" s="1"/>
  <c r="Y181" i="100" a="1"/>
  <c r="Y181" i="100" s="1"/>
  <c r="X181" i="100" a="1"/>
  <c r="X181" i="100" s="1"/>
  <c r="W181" i="100" a="1"/>
  <c r="W181" i="100" s="1"/>
  <c r="V181" i="100" a="1"/>
  <c r="V181" i="100" s="1"/>
  <c r="U181" i="100" a="1"/>
  <c r="U181" i="100" s="1"/>
  <c r="T181" i="100" a="1"/>
  <c r="T181" i="100" s="1"/>
  <c r="S181" i="100" a="1"/>
  <c r="S181" i="100" s="1"/>
  <c r="R181" i="100" a="1"/>
  <c r="R181" i="100" s="1"/>
  <c r="Q181" i="100" a="1"/>
  <c r="Q181" i="100" s="1"/>
  <c r="P181" i="100" a="1"/>
  <c r="P181" i="100" s="1"/>
  <c r="O181" i="100" a="1"/>
  <c r="O181" i="100" s="1"/>
  <c r="N181" i="100" a="1"/>
  <c r="N181" i="100" s="1"/>
  <c r="M181" i="100" a="1"/>
  <c r="M181" i="100" s="1"/>
  <c r="L181" i="100" a="1"/>
  <c r="L181" i="100" s="1"/>
  <c r="K181" i="100" a="1"/>
  <c r="K181" i="100" s="1"/>
  <c r="J181" i="100" a="1"/>
  <c r="J181" i="100" s="1"/>
  <c r="I181" i="100" a="1"/>
  <c r="I181" i="100" s="1"/>
  <c r="H181" i="100" a="1"/>
  <c r="H181" i="100" s="1"/>
  <c r="G181" i="100" a="1"/>
  <c r="G181" i="100" s="1"/>
  <c r="F181" i="100" a="1"/>
  <c r="F181" i="100" s="1"/>
  <c r="E181" i="100" a="1"/>
  <c r="E181" i="100" s="1"/>
  <c r="D181" i="100" a="1"/>
  <c r="D181" i="100" s="1"/>
  <c r="AH180" i="100" a="1"/>
  <c r="AH180" i="100" s="1"/>
  <c r="AG180" i="100" a="1"/>
  <c r="AG180" i="100" s="1"/>
  <c r="AF180" i="100" a="1"/>
  <c r="AF180" i="100" s="1"/>
  <c r="AE180" i="100" a="1"/>
  <c r="AE180" i="100" s="1"/>
  <c r="AD180" i="100" a="1"/>
  <c r="AD180" i="100" s="1"/>
  <c r="AC180" i="100" a="1"/>
  <c r="AC180" i="100" s="1"/>
  <c r="AB180" i="100" a="1"/>
  <c r="AB180" i="100" s="1"/>
  <c r="AA180" i="100" a="1"/>
  <c r="AA180" i="100" s="1"/>
  <c r="Z180" i="100" a="1"/>
  <c r="Z180" i="100" s="1"/>
  <c r="Y180" i="100" a="1"/>
  <c r="Y180" i="100" s="1"/>
  <c r="X180" i="100" a="1"/>
  <c r="X180" i="100" s="1"/>
  <c r="W180" i="100" a="1"/>
  <c r="W180" i="100" s="1"/>
  <c r="V180" i="100" a="1"/>
  <c r="V180" i="100" s="1"/>
  <c r="U180" i="100" a="1"/>
  <c r="U180" i="100" s="1"/>
  <c r="T180" i="100" a="1"/>
  <c r="T180" i="100" s="1"/>
  <c r="S180" i="100" a="1"/>
  <c r="S180" i="100" s="1"/>
  <c r="R180" i="100" a="1"/>
  <c r="R180" i="100" s="1"/>
  <c r="Q180" i="100" a="1"/>
  <c r="Q180" i="100" s="1"/>
  <c r="P180" i="100" a="1"/>
  <c r="P180" i="100" s="1"/>
  <c r="O180" i="100" a="1"/>
  <c r="O180" i="100" s="1"/>
  <c r="N180" i="100" a="1"/>
  <c r="N180" i="100" s="1"/>
  <c r="M180" i="100" a="1"/>
  <c r="M180" i="100" s="1"/>
  <c r="L180" i="100" a="1"/>
  <c r="L180" i="100" s="1"/>
  <c r="K180" i="100" a="1"/>
  <c r="K180" i="100" s="1"/>
  <c r="J180" i="100" a="1"/>
  <c r="J180" i="100" s="1"/>
  <c r="I180" i="100" a="1"/>
  <c r="I180" i="100" s="1"/>
  <c r="H180" i="100" a="1"/>
  <c r="H180" i="100" s="1"/>
  <c r="G180" i="100" a="1"/>
  <c r="G180" i="100" s="1"/>
  <c r="F180" i="100" a="1"/>
  <c r="F180" i="100" s="1"/>
  <c r="E180" i="100" a="1"/>
  <c r="E180" i="100" s="1"/>
  <c r="D180" i="100" a="1"/>
  <c r="D180" i="100" s="1"/>
  <c r="AH179" i="100" a="1"/>
  <c r="AH179" i="100" s="1"/>
  <c r="AG179" i="100" a="1"/>
  <c r="AG179" i="100" s="1"/>
  <c r="AF179" i="100" a="1"/>
  <c r="AF179" i="100" s="1"/>
  <c r="AE179" i="100" a="1"/>
  <c r="AE179" i="100" s="1"/>
  <c r="AD179" i="100" a="1"/>
  <c r="AD179" i="100" s="1"/>
  <c r="AC179" i="100" a="1"/>
  <c r="AC179" i="100" s="1"/>
  <c r="AB179" i="100" a="1"/>
  <c r="AB179" i="100" s="1"/>
  <c r="AA179" i="100" a="1"/>
  <c r="AA179" i="100" s="1"/>
  <c r="Z179" i="100" a="1"/>
  <c r="Z179" i="100" s="1"/>
  <c r="Y179" i="100" a="1"/>
  <c r="Y179" i="100" s="1"/>
  <c r="X179" i="100" a="1"/>
  <c r="X179" i="100" s="1"/>
  <c r="W179" i="100" a="1"/>
  <c r="W179" i="100" s="1"/>
  <c r="V179" i="100" a="1"/>
  <c r="V179" i="100" s="1"/>
  <c r="U179" i="100" a="1"/>
  <c r="U179" i="100" s="1"/>
  <c r="T179" i="100" a="1"/>
  <c r="T179" i="100" s="1"/>
  <c r="S179" i="100" a="1"/>
  <c r="S179" i="100" s="1"/>
  <c r="R179" i="100" a="1"/>
  <c r="R179" i="100" s="1"/>
  <c r="Q179" i="100" a="1"/>
  <c r="Q179" i="100" s="1"/>
  <c r="P179" i="100" a="1"/>
  <c r="P179" i="100" s="1"/>
  <c r="O179" i="100" a="1"/>
  <c r="O179" i="100" s="1"/>
  <c r="N179" i="100" a="1"/>
  <c r="N179" i="100" s="1"/>
  <c r="M179" i="100" a="1"/>
  <c r="M179" i="100" s="1"/>
  <c r="L179" i="100" a="1"/>
  <c r="L179" i="100" s="1"/>
  <c r="K179" i="100" a="1"/>
  <c r="K179" i="100" s="1"/>
  <c r="J179" i="100" a="1"/>
  <c r="J179" i="100" s="1"/>
  <c r="I179" i="100" a="1"/>
  <c r="I179" i="100" s="1"/>
  <c r="H179" i="100" a="1"/>
  <c r="H179" i="100" s="1"/>
  <c r="G179" i="100" a="1"/>
  <c r="G179" i="100" s="1"/>
  <c r="F179" i="100" a="1"/>
  <c r="F179" i="100" s="1"/>
  <c r="E179" i="100" a="1"/>
  <c r="E179" i="100" s="1"/>
  <c r="D179" i="100" a="1"/>
  <c r="D179" i="100" s="1"/>
  <c r="AH178" i="100" a="1"/>
  <c r="AH178" i="100" s="1"/>
  <c r="AG178" i="100" a="1"/>
  <c r="AG178" i="100" s="1"/>
  <c r="AF178" i="100" a="1"/>
  <c r="AF178" i="100" s="1"/>
  <c r="AE178" i="100" a="1"/>
  <c r="AE178" i="100" s="1"/>
  <c r="AD178" i="100" a="1"/>
  <c r="AD178" i="100" s="1"/>
  <c r="AC178" i="100" a="1"/>
  <c r="AC178" i="100" s="1"/>
  <c r="AB178" i="100" a="1"/>
  <c r="AB178" i="100" s="1"/>
  <c r="AA178" i="100" a="1"/>
  <c r="AA178" i="100" s="1"/>
  <c r="Z178" i="100" a="1"/>
  <c r="Z178" i="100" s="1"/>
  <c r="Y178" i="100" a="1"/>
  <c r="Y178" i="100" s="1"/>
  <c r="X178" i="100" a="1"/>
  <c r="X178" i="100" s="1"/>
  <c r="W178" i="100" a="1"/>
  <c r="W178" i="100" s="1"/>
  <c r="V178" i="100" a="1"/>
  <c r="V178" i="100" s="1"/>
  <c r="U178" i="100" a="1"/>
  <c r="U178" i="100" s="1"/>
  <c r="T178" i="100" a="1"/>
  <c r="T178" i="100" s="1"/>
  <c r="S178" i="100" a="1"/>
  <c r="S178" i="100" s="1"/>
  <c r="R178" i="100" a="1"/>
  <c r="R178" i="100" s="1"/>
  <c r="Q178" i="100" a="1"/>
  <c r="Q178" i="100" s="1"/>
  <c r="P178" i="100" a="1"/>
  <c r="P178" i="100" s="1"/>
  <c r="O178" i="100" a="1"/>
  <c r="O178" i="100" s="1"/>
  <c r="N178" i="100" a="1"/>
  <c r="N178" i="100" s="1"/>
  <c r="M178" i="100" a="1"/>
  <c r="M178" i="100" s="1"/>
  <c r="L178" i="100" a="1"/>
  <c r="L178" i="100" s="1"/>
  <c r="K178" i="100" a="1"/>
  <c r="K178" i="100" s="1"/>
  <c r="J178" i="100" a="1"/>
  <c r="J178" i="100" s="1"/>
  <c r="I178" i="100" a="1"/>
  <c r="I178" i="100" s="1"/>
  <c r="H178" i="100" a="1"/>
  <c r="H178" i="100" s="1"/>
  <c r="G178" i="100" a="1"/>
  <c r="G178" i="100" s="1"/>
  <c r="F178" i="100" a="1"/>
  <c r="F178" i="100" s="1"/>
  <c r="E178" i="100" a="1"/>
  <c r="E178" i="100" s="1"/>
  <c r="D178" i="100" a="1"/>
  <c r="D178" i="100" s="1"/>
  <c r="AH177" i="100" a="1"/>
  <c r="AH177" i="100" s="1"/>
  <c r="AG177" i="100" a="1"/>
  <c r="AG177" i="100" s="1"/>
  <c r="AF177" i="100" a="1"/>
  <c r="AF177" i="100" s="1"/>
  <c r="AE177" i="100" a="1"/>
  <c r="AE177" i="100" s="1"/>
  <c r="AD177" i="100" a="1"/>
  <c r="AD177" i="100" s="1"/>
  <c r="AC177" i="100" a="1"/>
  <c r="AC177" i="100" s="1"/>
  <c r="AB177" i="100" a="1"/>
  <c r="AB177" i="100" s="1"/>
  <c r="AA177" i="100" a="1"/>
  <c r="AA177" i="100" s="1"/>
  <c r="Z177" i="100" a="1"/>
  <c r="Z177" i="100" s="1"/>
  <c r="Y177" i="100" a="1"/>
  <c r="Y177" i="100" s="1"/>
  <c r="X177" i="100" a="1"/>
  <c r="X177" i="100" s="1"/>
  <c r="W177" i="100" a="1"/>
  <c r="W177" i="100" s="1"/>
  <c r="V177" i="100" a="1"/>
  <c r="V177" i="100" s="1"/>
  <c r="U177" i="100" a="1"/>
  <c r="U177" i="100" s="1"/>
  <c r="T177" i="100" a="1"/>
  <c r="T177" i="100" s="1"/>
  <c r="S177" i="100" a="1"/>
  <c r="S177" i="100" s="1"/>
  <c r="R177" i="100" a="1"/>
  <c r="R177" i="100" s="1"/>
  <c r="Q177" i="100" a="1"/>
  <c r="Q177" i="100" s="1"/>
  <c r="P177" i="100" a="1"/>
  <c r="P177" i="100" s="1"/>
  <c r="O177" i="100" a="1"/>
  <c r="O177" i="100" s="1"/>
  <c r="N177" i="100" a="1"/>
  <c r="N177" i="100" s="1"/>
  <c r="M177" i="100" a="1"/>
  <c r="M177" i="100" s="1"/>
  <c r="L177" i="100" a="1"/>
  <c r="L177" i="100" s="1"/>
  <c r="K177" i="100" a="1"/>
  <c r="K177" i="100" s="1"/>
  <c r="J177" i="100" a="1"/>
  <c r="J177" i="100" s="1"/>
  <c r="I177" i="100" a="1"/>
  <c r="I177" i="100" s="1"/>
  <c r="H177" i="100" a="1"/>
  <c r="H177" i="100" s="1"/>
  <c r="G177" i="100" a="1"/>
  <c r="G177" i="100" s="1"/>
  <c r="F177" i="100" a="1"/>
  <c r="F177" i="100" s="1"/>
  <c r="E177" i="100" a="1"/>
  <c r="E177" i="100" s="1"/>
  <c r="D177" i="100" a="1"/>
  <c r="D177" i="100" s="1"/>
  <c r="AH176" i="100" a="1"/>
  <c r="AH176" i="100" s="1"/>
  <c r="AG176" i="100" a="1"/>
  <c r="AG176" i="100" s="1"/>
  <c r="AF176" i="100" a="1"/>
  <c r="AF176" i="100" s="1"/>
  <c r="AE176" i="100" a="1"/>
  <c r="AE176" i="100" s="1"/>
  <c r="AD176" i="100" a="1"/>
  <c r="AD176" i="100" s="1"/>
  <c r="AC176" i="100" a="1"/>
  <c r="AC176" i="100" s="1"/>
  <c r="AB176" i="100" a="1"/>
  <c r="AB176" i="100" s="1"/>
  <c r="AA176" i="100" a="1"/>
  <c r="AA176" i="100" s="1"/>
  <c r="Z176" i="100" a="1"/>
  <c r="Z176" i="100" s="1"/>
  <c r="Y176" i="100" a="1"/>
  <c r="Y176" i="100" s="1"/>
  <c r="X176" i="100" a="1"/>
  <c r="X176" i="100" s="1"/>
  <c r="W176" i="100" a="1"/>
  <c r="W176" i="100" s="1"/>
  <c r="V176" i="100" a="1"/>
  <c r="V176" i="100" s="1"/>
  <c r="U176" i="100" a="1"/>
  <c r="U176" i="100" s="1"/>
  <c r="T176" i="100" a="1"/>
  <c r="T176" i="100" s="1"/>
  <c r="S176" i="100" a="1"/>
  <c r="S176" i="100" s="1"/>
  <c r="R176" i="100" a="1"/>
  <c r="R176" i="100" s="1"/>
  <c r="Q176" i="100" a="1"/>
  <c r="Q176" i="100" s="1"/>
  <c r="P176" i="100" a="1"/>
  <c r="P176" i="100" s="1"/>
  <c r="O176" i="100" a="1"/>
  <c r="O176" i="100" s="1"/>
  <c r="N176" i="100" a="1"/>
  <c r="N176" i="100" s="1"/>
  <c r="M176" i="100" a="1"/>
  <c r="M176" i="100" s="1"/>
  <c r="L176" i="100" a="1"/>
  <c r="L176" i="100" s="1"/>
  <c r="K176" i="100" a="1"/>
  <c r="K176" i="100" s="1"/>
  <c r="J176" i="100" a="1"/>
  <c r="J176" i="100" s="1"/>
  <c r="I176" i="100" a="1"/>
  <c r="I176" i="100" s="1"/>
  <c r="H176" i="100" a="1"/>
  <c r="H176" i="100" s="1"/>
  <c r="G176" i="100" a="1"/>
  <c r="G176" i="100" s="1"/>
  <c r="F176" i="100" a="1"/>
  <c r="F176" i="100" s="1"/>
  <c r="E176" i="100" a="1"/>
  <c r="E176" i="100" s="1"/>
  <c r="D176" i="100" a="1"/>
  <c r="D176" i="100" s="1"/>
  <c r="AH175" i="100" a="1"/>
  <c r="AH175" i="100" s="1"/>
  <c r="AG175" i="100" a="1"/>
  <c r="AG175" i="100" s="1"/>
  <c r="AF175" i="100" a="1"/>
  <c r="AF175" i="100" s="1"/>
  <c r="AE175" i="100" a="1"/>
  <c r="AE175" i="100" s="1"/>
  <c r="AD175" i="100" a="1"/>
  <c r="AD175" i="100" s="1"/>
  <c r="AC175" i="100" a="1"/>
  <c r="AC175" i="100" s="1"/>
  <c r="AB175" i="100" a="1"/>
  <c r="AB175" i="100" s="1"/>
  <c r="AA175" i="100" a="1"/>
  <c r="AA175" i="100" s="1"/>
  <c r="Z175" i="100" a="1"/>
  <c r="Z175" i="100" s="1"/>
  <c r="Y175" i="100" a="1"/>
  <c r="Y175" i="100" s="1"/>
  <c r="X175" i="100" a="1"/>
  <c r="X175" i="100" s="1"/>
  <c r="W175" i="100" a="1"/>
  <c r="W175" i="100" s="1"/>
  <c r="V175" i="100" a="1"/>
  <c r="V175" i="100" s="1"/>
  <c r="U175" i="100" a="1"/>
  <c r="U175" i="100" s="1"/>
  <c r="T175" i="100" a="1"/>
  <c r="T175" i="100" s="1"/>
  <c r="S175" i="100" a="1"/>
  <c r="S175" i="100" s="1"/>
  <c r="R175" i="100" a="1"/>
  <c r="R175" i="100" s="1"/>
  <c r="Q175" i="100" a="1"/>
  <c r="Q175" i="100" s="1"/>
  <c r="P175" i="100" a="1"/>
  <c r="P175" i="100" s="1"/>
  <c r="O175" i="100" a="1"/>
  <c r="O175" i="100" s="1"/>
  <c r="N175" i="100" a="1"/>
  <c r="N175" i="100" s="1"/>
  <c r="M175" i="100" a="1"/>
  <c r="M175" i="100" s="1"/>
  <c r="L175" i="100" a="1"/>
  <c r="L175" i="100" s="1"/>
  <c r="K175" i="100" a="1"/>
  <c r="K175" i="100" s="1"/>
  <c r="J175" i="100" a="1"/>
  <c r="J175" i="100" s="1"/>
  <c r="I175" i="100" a="1"/>
  <c r="I175" i="100" s="1"/>
  <c r="H175" i="100" a="1"/>
  <c r="H175" i="100" s="1"/>
  <c r="G175" i="100" a="1"/>
  <c r="G175" i="100" s="1"/>
  <c r="F175" i="100" a="1"/>
  <c r="F175" i="100" s="1"/>
  <c r="E175" i="100" a="1"/>
  <c r="E175" i="100" s="1"/>
  <c r="D175" i="100" a="1"/>
  <c r="D175" i="100" s="1"/>
  <c r="AH174" i="100" a="1"/>
  <c r="AH174" i="100" s="1"/>
  <c r="AG174" i="100" a="1"/>
  <c r="AG174" i="100" s="1"/>
  <c r="AF174" i="100" a="1"/>
  <c r="AF174" i="100" s="1"/>
  <c r="AE174" i="100" a="1"/>
  <c r="AE174" i="100" s="1"/>
  <c r="AD174" i="100" a="1"/>
  <c r="AD174" i="100" s="1"/>
  <c r="AC174" i="100" a="1"/>
  <c r="AC174" i="100" s="1"/>
  <c r="AB174" i="100" a="1"/>
  <c r="AB174" i="100" s="1"/>
  <c r="AA174" i="100" a="1"/>
  <c r="AA174" i="100" s="1"/>
  <c r="Z174" i="100" a="1"/>
  <c r="Z174" i="100" s="1"/>
  <c r="Y174" i="100" a="1"/>
  <c r="Y174" i="100" s="1"/>
  <c r="X174" i="100" a="1"/>
  <c r="X174" i="100" s="1"/>
  <c r="W174" i="100" a="1"/>
  <c r="W174" i="100" s="1"/>
  <c r="V174" i="100" a="1"/>
  <c r="V174" i="100" s="1"/>
  <c r="U174" i="100" a="1"/>
  <c r="U174" i="100" s="1"/>
  <c r="T174" i="100" a="1"/>
  <c r="T174" i="100" s="1"/>
  <c r="S174" i="100" a="1"/>
  <c r="S174" i="100" s="1"/>
  <c r="R174" i="100" a="1"/>
  <c r="R174" i="100" s="1"/>
  <c r="Q174" i="100" a="1"/>
  <c r="Q174" i="100" s="1"/>
  <c r="P174" i="100" a="1"/>
  <c r="P174" i="100" s="1"/>
  <c r="O174" i="100" a="1"/>
  <c r="O174" i="100" s="1"/>
  <c r="N174" i="100" a="1"/>
  <c r="N174" i="100" s="1"/>
  <c r="M174" i="100" a="1"/>
  <c r="M174" i="100" s="1"/>
  <c r="L174" i="100" a="1"/>
  <c r="L174" i="100" s="1"/>
  <c r="K174" i="100" a="1"/>
  <c r="K174" i="100" s="1"/>
  <c r="J174" i="100" a="1"/>
  <c r="J174" i="100" s="1"/>
  <c r="I174" i="100" a="1"/>
  <c r="I174" i="100" s="1"/>
  <c r="H174" i="100" a="1"/>
  <c r="H174" i="100" s="1"/>
  <c r="G174" i="100" a="1"/>
  <c r="G174" i="100" s="1"/>
  <c r="F174" i="100" a="1"/>
  <c r="F174" i="100" s="1"/>
  <c r="E174" i="100" a="1"/>
  <c r="E174" i="100" s="1"/>
  <c r="D174" i="100" a="1"/>
  <c r="D174" i="100" s="1"/>
  <c r="AH173" i="100" a="1"/>
  <c r="AH173" i="100" s="1"/>
  <c r="AG173" i="100" a="1"/>
  <c r="AG173" i="100" s="1"/>
  <c r="AF173" i="100" a="1"/>
  <c r="AF173" i="100" s="1"/>
  <c r="AE173" i="100" a="1"/>
  <c r="AE173" i="100" s="1"/>
  <c r="AD173" i="100" a="1"/>
  <c r="AD173" i="100" s="1"/>
  <c r="AC173" i="100" a="1"/>
  <c r="AC173" i="100" s="1"/>
  <c r="AB173" i="100" a="1"/>
  <c r="AB173" i="100" s="1"/>
  <c r="AA173" i="100" a="1"/>
  <c r="AA173" i="100" s="1"/>
  <c r="Z173" i="100" a="1"/>
  <c r="Z173" i="100" s="1"/>
  <c r="Y173" i="100" a="1"/>
  <c r="Y173" i="100" s="1"/>
  <c r="X173" i="100" a="1"/>
  <c r="X173" i="100" s="1"/>
  <c r="W173" i="100" a="1"/>
  <c r="W173" i="100" s="1"/>
  <c r="V173" i="100" a="1"/>
  <c r="V173" i="100" s="1"/>
  <c r="U173" i="100" a="1"/>
  <c r="U173" i="100" s="1"/>
  <c r="T173" i="100" a="1"/>
  <c r="T173" i="100" s="1"/>
  <c r="S173" i="100" a="1"/>
  <c r="S173" i="100" s="1"/>
  <c r="R173" i="100" a="1"/>
  <c r="R173" i="100" s="1"/>
  <c r="Q173" i="100" a="1"/>
  <c r="Q173" i="100" s="1"/>
  <c r="P173" i="100" a="1"/>
  <c r="P173" i="100" s="1"/>
  <c r="O173" i="100" a="1"/>
  <c r="O173" i="100" s="1"/>
  <c r="N173" i="100" a="1"/>
  <c r="N173" i="100" s="1"/>
  <c r="M173" i="100" a="1"/>
  <c r="M173" i="100" s="1"/>
  <c r="L173" i="100" a="1"/>
  <c r="L173" i="100" s="1"/>
  <c r="K173" i="100" a="1"/>
  <c r="K173" i="100" s="1"/>
  <c r="J173" i="100" a="1"/>
  <c r="J173" i="100" s="1"/>
  <c r="I173" i="100" a="1"/>
  <c r="I173" i="100" s="1"/>
  <c r="H173" i="100" a="1"/>
  <c r="H173" i="100" s="1"/>
  <c r="G173" i="100" a="1"/>
  <c r="G173" i="100" s="1"/>
  <c r="F173" i="100" a="1"/>
  <c r="F173" i="100" s="1"/>
  <c r="E173" i="100" a="1"/>
  <c r="E173" i="100" s="1"/>
  <c r="D173" i="100" a="1"/>
  <c r="D173" i="100" s="1"/>
  <c r="AH172" i="100" a="1"/>
  <c r="AH172" i="100" s="1"/>
  <c r="AG172" i="100" a="1"/>
  <c r="AG172" i="100" s="1"/>
  <c r="AF172" i="100" a="1"/>
  <c r="AF172" i="100" s="1"/>
  <c r="AE172" i="100" a="1"/>
  <c r="AE172" i="100" s="1"/>
  <c r="AD172" i="100" a="1"/>
  <c r="AD172" i="100" s="1"/>
  <c r="AC172" i="100" a="1"/>
  <c r="AC172" i="100" s="1"/>
  <c r="AB172" i="100" a="1"/>
  <c r="AB172" i="100" s="1"/>
  <c r="AA172" i="100" a="1"/>
  <c r="AA172" i="100" s="1"/>
  <c r="Z172" i="100" a="1"/>
  <c r="Z172" i="100" s="1"/>
  <c r="Y172" i="100" a="1"/>
  <c r="Y172" i="100" s="1"/>
  <c r="X172" i="100" a="1"/>
  <c r="X172" i="100" s="1"/>
  <c r="W172" i="100" a="1"/>
  <c r="W172" i="100" s="1"/>
  <c r="V172" i="100" a="1"/>
  <c r="V172" i="100" s="1"/>
  <c r="U172" i="100" a="1"/>
  <c r="U172" i="100" s="1"/>
  <c r="T172" i="100" a="1"/>
  <c r="T172" i="100" s="1"/>
  <c r="S172" i="100" a="1"/>
  <c r="S172" i="100" s="1"/>
  <c r="R172" i="100" a="1"/>
  <c r="R172" i="100" s="1"/>
  <c r="Q172" i="100" a="1"/>
  <c r="Q172" i="100" s="1"/>
  <c r="P172" i="100" a="1"/>
  <c r="P172" i="100" s="1"/>
  <c r="O172" i="100" a="1"/>
  <c r="O172" i="100" s="1"/>
  <c r="N172" i="100" a="1"/>
  <c r="N172" i="100" s="1"/>
  <c r="M172" i="100" a="1"/>
  <c r="M172" i="100" s="1"/>
  <c r="L172" i="100" a="1"/>
  <c r="L172" i="100" s="1"/>
  <c r="K172" i="100" a="1"/>
  <c r="K172" i="100" s="1"/>
  <c r="J172" i="100" a="1"/>
  <c r="J172" i="100" s="1"/>
  <c r="I172" i="100" a="1"/>
  <c r="I172" i="100" s="1"/>
  <c r="H172" i="100" a="1"/>
  <c r="H172" i="100" s="1"/>
  <c r="G172" i="100" a="1"/>
  <c r="G172" i="100" s="1"/>
  <c r="F172" i="100" a="1"/>
  <c r="F172" i="100" s="1"/>
  <c r="E172" i="100" a="1"/>
  <c r="E172" i="100" s="1"/>
  <c r="D172" i="100" a="1"/>
  <c r="D172" i="100" s="1"/>
  <c r="AH171" i="100" a="1"/>
  <c r="AH171" i="100" s="1"/>
  <c r="AG171" i="100" a="1"/>
  <c r="AG171" i="100" s="1"/>
  <c r="AF171" i="100" a="1"/>
  <c r="AF171" i="100" s="1"/>
  <c r="AE171" i="100" a="1"/>
  <c r="AE171" i="100" s="1"/>
  <c r="AD171" i="100" a="1"/>
  <c r="AD171" i="100" s="1"/>
  <c r="AC171" i="100" a="1"/>
  <c r="AC171" i="100" s="1"/>
  <c r="AB171" i="100" a="1"/>
  <c r="AB171" i="100" s="1"/>
  <c r="AA171" i="100" a="1"/>
  <c r="AA171" i="100" s="1"/>
  <c r="Z171" i="100" a="1"/>
  <c r="Z171" i="100" s="1"/>
  <c r="Y171" i="100" a="1"/>
  <c r="Y171" i="100" s="1"/>
  <c r="X171" i="100" a="1"/>
  <c r="X171" i="100" s="1"/>
  <c r="W171" i="100" a="1"/>
  <c r="W171" i="100" s="1"/>
  <c r="V171" i="100" a="1"/>
  <c r="V171" i="100" s="1"/>
  <c r="U171" i="100" a="1"/>
  <c r="U171" i="100" s="1"/>
  <c r="T171" i="100" a="1"/>
  <c r="T171" i="100" s="1"/>
  <c r="S171" i="100" a="1"/>
  <c r="S171" i="100" s="1"/>
  <c r="R171" i="100" a="1"/>
  <c r="R171" i="100" s="1"/>
  <c r="Q171" i="100" a="1"/>
  <c r="Q171" i="100" s="1"/>
  <c r="P171" i="100" a="1"/>
  <c r="P171" i="100" s="1"/>
  <c r="O171" i="100" a="1"/>
  <c r="O171" i="100" s="1"/>
  <c r="N171" i="100" a="1"/>
  <c r="N171" i="100" s="1"/>
  <c r="M171" i="100" a="1"/>
  <c r="M171" i="100" s="1"/>
  <c r="L171" i="100" a="1"/>
  <c r="L171" i="100" s="1"/>
  <c r="K171" i="100" a="1"/>
  <c r="K171" i="100" s="1"/>
  <c r="J171" i="100" a="1"/>
  <c r="J171" i="100" s="1"/>
  <c r="I171" i="100" a="1"/>
  <c r="I171" i="100" s="1"/>
  <c r="H171" i="100" a="1"/>
  <c r="H171" i="100" s="1"/>
  <c r="G171" i="100" a="1"/>
  <c r="G171" i="100" s="1"/>
  <c r="F171" i="100" a="1"/>
  <c r="F171" i="100" s="1"/>
  <c r="E171" i="100" a="1"/>
  <c r="E171" i="100" s="1"/>
  <c r="D171" i="100" a="1"/>
  <c r="D171" i="100" s="1"/>
  <c r="AH170" i="100" a="1"/>
  <c r="AH170" i="100" s="1"/>
  <c r="AG170" i="100" a="1"/>
  <c r="AG170" i="100" s="1"/>
  <c r="AF170" i="100" a="1"/>
  <c r="AF170" i="100" s="1"/>
  <c r="AE170" i="100" a="1"/>
  <c r="AE170" i="100" s="1"/>
  <c r="AD170" i="100" a="1"/>
  <c r="AD170" i="100" s="1"/>
  <c r="AC170" i="100" a="1"/>
  <c r="AC170" i="100" s="1"/>
  <c r="AB170" i="100" a="1"/>
  <c r="AB170" i="100" s="1"/>
  <c r="AA170" i="100" a="1"/>
  <c r="AA170" i="100" s="1"/>
  <c r="Z170" i="100" a="1"/>
  <c r="Z170" i="100" s="1"/>
  <c r="Y170" i="100" a="1"/>
  <c r="Y170" i="100" s="1"/>
  <c r="X170" i="100" a="1"/>
  <c r="X170" i="100" s="1"/>
  <c r="W170" i="100" a="1"/>
  <c r="W170" i="100" s="1"/>
  <c r="V170" i="100" a="1"/>
  <c r="V170" i="100" s="1"/>
  <c r="U170" i="100" a="1"/>
  <c r="U170" i="100" s="1"/>
  <c r="T170" i="100" a="1"/>
  <c r="T170" i="100" s="1"/>
  <c r="S170" i="100" a="1"/>
  <c r="S170" i="100" s="1"/>
  <c r="R170" i="100" a="1"/>
  <c r="R170" i="100" s="1"/>
  <c r="Q170" i="100" a="1"/>
  <c r="Q170" i="100" s="1"/>
  <c r="P170" i="100" a="1"/>
  <c r="P170" i="100" s="1"/>
  <c r="O170" i="100" a="1"/>
  <c r="O170" i="100" s="1"/>
  <c r="N170" i="100" a="1"/>
  <c r="N170" i="100" s="1"/>
  <c r="M170" i="100" a="1"/>
  <c r="M170" i="100" s="1"/>
  <c r="L170" i="100" a="1"/>
  <c r="L170" i="100" s="1"/>
  <c r="K170" i="100" a="1"/>
  <c r="K170" i="100" s="1"/>
  <c r="J170" i="100" a="1"/>
  <c r="J170" i="100" s="1"/>
  <c r="I170" i="100" a="1"/>
  <c r="I170" i="100" s="1"/>
  <c r="H170" i="100" a="1"/>
  <c r="H170" i="100" s="1"/>
  <c r="G170" i="100" a="1"/>
  <c r="G170" i="100" s="1"/>
  <c r="F170" i="100" a="1"/>
  <c r="F170" i="100" s="1"/>
  <c r="E170" i="100" a="1"/>
  <c r="E170" i="100" s="1"/>
  <c r="D170" i="100" a="1"/>
  <c r="D170" i="100" s="1"/>
  <c r="AH169" i="100" a="1"/>
  <c r="AH169" i="100" s="1"/>
  <c r="AG169" i="100" a="1"/>
  <c r="AG169" i="100" s="1"/>
  <c r="AF169" i="100" a="1"/>
  <c r="AF169" i="100" s="1"/>
  <c r="AE169" i="100" a="1"/>
  <c r="AE169" i="100" s="1"/>
  <c r="AD169" i="100" a="1"/>
  <c r="AD169" i="100" s="1"/>
  <c r="AC169" i="100" a="1"/>
  <c r="AC169" i="100" s="1"/>
  <c r="AB169" i="100" a="1"/>
  <c r="AB169" i="100" s="1"/>
  <c r="AA169" i="100" a="1"/>
  <c r="AA169" i="100" s="1"/>
  <c r="Z169" i="100" a="1"/>
  <c r="Z169" i="100" s="1"/>
  <c r="Y169" i="100" a="1"/>
  <c r="Y169" i="100" s="1"/>
  <c r="X169" i="100" a="1"/>
  <c r="X169" i="100" s="1"/>
  <c r="W169" i="100" a="1"/>
  <c r="W169" i="100" s="1"/>
  <c r="V169" i="100" a="1"/>
  <c r="V169" i="100" s="1"/>
  <c r="U169" i="100" a="1"/>
  <c r="U169" i="100" s="1"/>
  <c r="T169" i="100" a="1"/>
  <c r="T169" i="100" s="1"/>
  <c r="S169" i="100" a="1"/>
  <c r="S169" i="100" s="1"/>
  <c r="R169" i="100" a="1"/>
  <c r="R169" i="100" s="1"/>
  <c r="Q169" i="100" a="1"/>
  <c r="Q169" i="100" s="1"/>
  <c r="P169" i="100" a="1"/>
  <c r="P169" i="100" s="1"/>
  <c r="O169" i="100" a="1"/>
  <c r="O169" i="100" s="1"/>
  <c r="N169" i="100" a="1"/>
  <c r="N169" i="100" s="1"/>
  <c r="M169" i="100" a="1"/>
  <c r="M169" i="100" s="1"/>
  <c r="L169" i="100" a="1"/>
  <c r="L169" i="100" s="1"/>
  <c r="K169" i="100" a="1"/>
  <c r="K169" i="100" s="1"/>
  <c r="J169" i="100" a="1"/>
  <c r="J169" i="100" s="1"/>
  <c r="I169" i="100" a="1"/>
  <c r="I169" i="100" s="1"/>
  <c r="H169" i="100" a="1"/>
  <c r="H169" i="100" s="1"/>
  <c r="G169" i="100" a="1"/>
  <c r="G169" i="100" s="1"/>
  <c r="F169" i="100" a="1"/>
  <c r="F169" i="100" s="1"/>
  <c r="E169" i="100" a="1"/>
  <c r="E169" i="100" s="1"/>
  <c r="D169" i="100" a="1"/>
  <c r="D169" i="100" s="1"/>
  <c r="AH168" i="100" a="1"/>
  <c r="AH168" i="100" s="1"/>
  <c r="AG168" i="100" a="1"/>
  <c r="AG168" i="100" s="1"/>
  <c r="AF168" i="100" a="1"/>
  <c r="AF168" i="100" s="1"/>
  <c r="AE168" i="100" a="1"/>
  <c r="AE168" i="100" s="1"/>
  <c r="AD168" i="100" a="1"/>
  <c r="AD168" i="100" s="1"/>
  <c r="AC168" i="100" a="1"/>
  <c r="AC168" i="100" s="1"/>
  <c r="AB168" i="100" a="1"/>
  <c r="AB168" i="100" s="1"/>
  <c r="AA168" i="100" a="1"/>
  <c r="AA168" i="100" s="1"/>
  <c r="Z168" i="100" a="1"/>
  <c r="Z168" i="100" s="1"/>
  <c r="Y168" i="100" a="1"/>
  <c r="Y168" i="100" s="1"/>
  <c r="X168" i="100" a="1"/>
  <c r="X168" i="100" s="1"/>
  <c r="W168" i="100" a="1"/>
  <c r="W168" i="100" s="1"/>
  <c r="V168" i="100" a="1"/>
  <c r="V168" i="100" s="1"/>
  <c r="U168" i="100" a="1"/>
  <c r="U168" i="100" s="1"/>
  <c r="T168" i="100" a="1"/>
  <c r="T168" i="100" s="1"/>
  <c r="S168" i="100" a="1"/>
  <c r="S168" i="100" s="1"/>
  <c r="R168" i="100" a="1"/>
  <c r="R168" i="100" s="1"/>
  <c r="Q168" i="100" a="1"/>
  <c r="Q168" i="100" s="1"/>
  <c r="P168" i="100" a="1"/>
  <c r="P168" i="100" s="1"/>
  <c r="O168" i="100" a="1"/>
  <c r="O168" i="100" s="1"/>
  <c r="N168" i="100" a="1"/>
  <c r="N168" i="100" s="1"/>
  <c r="M168" i="100" a="1"/>
  <c r="M168" i="100" s="1"/>
  <c r="L168" i="100" a="1"/>
  <c r="L168" i="100" s="1"/>
  <c r="K168" i="100" a="1"/>
  <c r="K168" i="100" s="1"/>
  <c r="J168" i="100" a="1"/>
  <c r="J168" i="100" s="1"/>
  <c r="I168" i="100" a="1"/>
  <c r="I168" i="100" s="1"/>
  <c r="H168" i="100" a="1"/>
  <c r="H168" i="100" s="1"/>
  <c r="G168" i="100" a="1"/>
  <c r="G168" i="100" s="1"/>
  <c r="F168" i="100" a="1"/>
  <c r="F168" i="100" s="1"/>
  <c r="E168" i="100" a="1"/>
  <c r="E168" i="100" s="1"/>
  <c r="D168" i="100" a="1"/>
  <c r="D168" i="100" s="1"/>
  <c r="AH167" i="100" a="1"/>
  <c r="AH167" i="100" s="1"/>
  <c r="AG167" i="100" a="1"/>
  <c r="AG167" i="100" s="1"/>
  <c r="AF167" i="100" a="1"/>
  <c r="AF167" i="100" s="1"/>
  <c r="AE167" i="100" a="1"/>
  <c r="AE167" i="100" s="1"/>
  <c r="AD167" i="100" a="1"/>
  <c r="AD167" i="100" s="1"/>
  <c r="AC167" i="100" a="1"/>
  <c r="AC167" i="100" s="1"/>
  <c r="AB167" i="100" a="1"/>
  <c r="AB167" i="100" s="1"/>
  <c r="AA167" i="100" a="1"/>
  <c r="AA167" i="100" s="1"/>
  <c r="Z167" i="100" a="1"/>
  <c r="Z167" i="100" s="1"/>
  <c r="Y167" i="100" a="1"/>
  <c r="Y167" i="100" s="1"/>
  <c r="X167" i="100" a="1"/>
  <c r="X167" i="100" s="1"/>
  <c r="W167" i="100" a="1"/>
  <c r="W167" i="100" s="1"/>
  <c r="V167" i="100" a="1"/>
  <c r="V167" i="100" s="1"/>
  <c r="U167" i="100" a="1"/>
  <c r="U167" i="100" s="1"/>
  <c r="T167" i="100" a="1"/>
  <c r="T167" i="100" s="1"/>
  <c r="S167" i="100" a="1"/>
  <c r="S167" i="100" s="1"/>
  <c r="R167" i="100" a="1"/>
  <c r="R167" i="100" s="1"/>
  <c r="Q167" i="100" a="1"/>
  <c r="Q167" i="100" s="1"/>
  <c r="P167" i="100" a="1"/>
  <c r="P167" i="100" s="1"/>
  <c r="O167" i="100" a="1"/>
  <c r="O167" i="100" s="1"/>
  <c r="N167" i="100" a="1"/>
  <c r="N167" i="100" s="1"/>
  <c r="M167" i="100" a="1"/>
  <c r="M167" i="100" s="1"/>
  <c r="L167" i="100" a="1"/>
  <c r="L167" i="100" s="1"/>
  <c r="K167" i="100" a="1"/>
  <c r="K167" i="100" s="1"/>
  <c r="J167" i="100" a="1"/>
  <c r="J167" i="100" s="1"/>
  <c r="I167" i="100" a="1"/>
  <c r="I167" i="100" s="1"/>
  <c r="H167" i="100" a="1"/>
  <c r="H167" i="100" s="1"/>
  <c r="G167" i="100" a="1"/>
  <c r="G167" i="100" s="1"/>
  <c r="F167" i="100" a="1"/>
  <c r="F167" i="100" s="1"/>
  <c r="E167" i="100" a="1"/>
  <c r="E167" i="100" s="1"/>
  <c r="D167" i="100" a="1"/>
  <c r="D167" i="100" s="1"/>
  <c r="AH166" i="100" a="1"/>
  <c r="AH166" i="100" s="1"/>
  <c r="AG166" i="100" a="1"/>
  <c r="AG166" i="100" s="1"/>
  <c r="AF166" i="100" a="1"/>
  <c r="AF166" i="100" s="1"/>
  <c r="AE166" i="100" a="1"/>
  <c r="AE166" i="100" s="1"/>
  <c r="AD166" i="100" a="1"/>
  <c r="AD166" i="100" s="1"/>
  <c r="AC166" i="100" a="1"/>
  <c r="AC166" i="100" s="1"/>
  <c r="AB166" i="100" a="1"/>
  <c r="AB166" i="100" s="1"/>
  <c r="AA166" i="100" a="1"/>
  <c r="AA166" i="100" s="1"/>
  <c r="Z166" i="100" a="1"/>
  <c r="Z166" i="100" s="1"/>
  <c r="Y166" i="100" a="1"/>
  <c r="Y166" i="100" s="1"/>
  <c r="X166" i="100" a="1"/>
  <c r="X166" i="100" s="1"/>
  <c r="W166" i="100" a="1"/>
  <c r="W166" i="100" s="1"/>
  <c r="V166" i="100" a="1"/>
  <c r="V166" i="100" s="1"/>
  <c r="U166" i="100" a="1"/>
  <c r="U166" i="100" s="1"/>
  <c r="T166" i="100" a="1"/>
  <c r="T166" i="100" s="1"/>
  <c r="S166" i="100" a="1"/>
  <c r="S166" i="100" s="1"/>
  <c r="R166" i="100" a="1"/>
  <c r="R166" i="100" s="1"/>
  <c r="Q166" i="100" a="1"/>
  <c r="Q166" i="100" s="1"/>
  <c r="P166" i="100" a="1"/>
  <c r="P166" i="100" s="1"/>
  <c r="O166" i="100" a="1"/>
  <c r="O166" i="100" s="1"/>
  <c r="N166" i="100" a="1"/>
  <c r="N166" i="100" s="1"/>
  <c r="M166" i="100" a="1"/>
  <c r="M166" i="100" s="1"/>
  <c r="L166" i="100" a="1"/>
  <c r="L166" i="100" s="1"/>
  <c r="K166" i="100" a="1"/>
  <c r="K166" i="100" s="1"/>
  <c r="J166" i="100" a="1"/>
  <c r="J166" i="100" s="1"/>
  <c r="I166" i="100" a="1"/>
  <c r="I166" i="100" s="1"/>
  <c r="H166" i="100" a="1"/>
  <c r="H166" i="100" s="1"/>
  <c r="G166" i="100" a="1"/>
  <c r="G166" i="100" s="1"/>
  <c r="F166" i="100" a="1"/>
  <c r="F166" i="100" s="1"/>
  <c r="E166" i="100" a="1"/>
  <c r="E166" i="100" s="1"/>
  <c r="D166" i="100" a="1"/>
  <c r="D166" i="100" s="1"/>
  <c r="AH165" i="100" a="1"/>
  <c r="AH165" i="100" s="1"/>
  <c r="AG165" i="100" a="1"/>
  <c r="AG165" i="100" s="1"/>
  <c r="AF165" i="100" a="1"/>
  <c r="AF165" i="100" s="1"/>
  <c r="AE165" i="100" a="1"/>
  <c r="AE165" i="100" s="1"/>
  <c r="AD165" i="100" a="1"/>
  <c r="AD165" i="100" s="1"/>
  <c r="AC165" i="100" a="1"/>
  <c r="AC165" i="100" s="1"/>
  <c r="AB165" i="100" a="1"/>
  <c r="AB165" i="100" s="1"/>
  <c r="AA165" i="100" a="1"/>
  <c r="AA165" i="100" s="1"/>
  <c r="Z165" i="100" a="1"/>
  <c r="Z165" i="100" s="1"/>
  <c r="Y165" i="100" a="1"/>
  <c r="Y165" i="100" s="1"/>
  <c r="X165" i="100" a="1"/>
  <c r="X165" i="100" s="1"/>
  <c r="W165" i="100" a="1"/>
  <c r="W165" i="100" s="1"/>
  <c r="V165" i="100" a="1"/>
  <c r="V165" i="100" s="1"/>
  <c r="U165" i="100" a="1"/>
  <c r="U165" i="100" s="1"/>
  <c r="T165" i="100" a="1"/>
  <c r="T165" i="100" s="1"/>
  <c r="S165" i="100" a="1"/>
  <c r="S165" i="100" s="1"/>
  <c r="R165" i="100" a="1"/>
  <c r="R165" i="100" s="1"/>
  <c r="Q165" i="100" a="1"/>
  <c r="Q165" i="100" s="1"/>
  <c r="P165" i="100" a="1"/>
  <c r="P165" i="100" s="1"/>
  <c r="O165" i="100" a="1"/>
  <c r="O165" i="100" s="1"/>
  <c r="N165" i="100" a="1"/>
  <c r="N165" i="100" s="1"/>
  <c r="M165" i="100" a="1"/>
  <c r="M165" i="100" s="1"/>
  <c r="L165" i="100" a="1"/>
  <c r="L165" i="100" s="1"/>
  <c r="K165" i="100" a="1"/>
  <c r="K165" i="100" s="1"/>
  <c r="J165" i="100" a="1"/>
  <c r="J165" i="100" s="1"/>
  <c r="I165" i="100" a="1"/>
  <c r="I165" i="100" s="1"/>
  <c r="H165" i="100" a="1"/>
  <c r="H165" i="100" s="1"/>
  <c r="G165" i="100" a="1"/>
  <c r="G165" i="100" s="1"/>
  <c r="F165" i="100" a="1"/>
  <c r="F165" i="100" s="1"/>
  <c r="E165" i="100" a="1"/>
  <c r="E165" i="100" s="1"/>
  <c r="D165" i="100" a="1"/>
  <c r="D165" i="100" s="1"/>
  <c r="AH164" i="100" a="1"/>
  <c r="AH164" i="100" s="1"/>
  <c r="AG164" i="100" a="1"/>
  <c r="AG164" i="100" s="1"/>
  <c r="AF164" i="100" a="1"/>
  <c r="AF164" i="100" s="1"/>
  <c r="AE164" i="100" a="1"/>
  <c r="AE164" i="100" s="1"/>
  <c r="AD164" i="100" a="1"/>
  <c r="AD164" i="100" s="1"/>
  <c r="AC164" i="100" a="1"/>
  <c r="AC164" i="100" s="1"/>
  <c r="AB164" i="100" a="1"/>
  <c r="AB164" i="100" s="1"/>
  <c r="AA164" i="100" a="1"/>
  <c r="AA164" i="100" s="1"/>
  <c r="Z164" i="100" a="1"/>
  <c r="Z164" i="100" s="1"/>
  <c r="Y164" i="100" a="1"/>
  <c r="Y164" i="100" s="1"/>
  <c r="X164" i="100" a="1"/>
  <c r="X164" i="100" s="1"/>
  <c r="W164" i="100" a="1"/>
  <c r="W164" i="100" s="1"/>
  <c r="V164" i="100" a="1"/>
  <c r="V164" i="100" s="1"/>
  <c r="U164" i="100" a="1"/>
  <c r="U164" i="100" s="1"/>
  <c r="T164" i="100" a="1"/>
  <c r="T164" i="100" s="1"/>
  <c r="S164" i="100" a="1"/>
  <c r="S164" i="100" s="1"/>
  <c r="R164" i="100" a="1"/>
  <c r="R164" i="100" s="1"/>
  <c r="Q164" i="100" a="1"/>
  <c r="Q164" i="100" s="1"/>
  <c r="P164" i="100" a="1"/>
  <c r="P164" i="100" s="1"/>
  <c r="O164" i="100" a="1"/>
  <c r="O164" i="100" s="1"/>
  <c r="N164" i="100" a="1"/>
  <c r="N164" i="100" s="1"/>
  <c r="M164" i="100" a="1"/>
  <c r="M164" i="100" s="1"/>
  <c r="L164" i="100" a="1"/>
  <c r="L164" i="100" s="1"/>
  <c r="K164" i="100" a="1"/>
  <c r="K164" i="100" s="1"/>
  <c r="J164" i="100" a="1"/>
  <c r="J164" i="100" s="1"/>
  <c r="I164" i="100" a="1"/>
  <c r="I164" i="100" s="1"/>
  <c r="H164" i="100" a="1"/>
  <c r="H164" i="100" s="1"/>
  <c r="G164" i="100" a="1"/>
  <c r="G164" i="100" s="1"/>
  <c r="F164" i="100" a="1"/>
  <c r="F164" i="100" s="1"/>
  <c r="E164" i="100" a="1"/>
  <c r="E164" i="100" s="1"/>
  <c r="D164" i="100" a="1"/>
  <c r="D164" i="100" s="1"/>
  <c r="AH163" i="100" a="1"/>
  <c r="AH163" i="100" s="1"/>
  <c r="AG163" i="100" a="1"/>
  <c r="AG163" i="100" s="1"/>
  <c r="AF163" i="100" a="1"/>
  <c r="AF163" i="100" s="1"/>
  <c r="AE163" i="100" a="1"/>
  <c r="AE163" i="100" s="1"/>
  <c r="AD163" i="100" a="1"/>
  <c r="AD163" i="100" s="1"/>
  <c r="AC163" i="100" a="1"/>
  <c r="AC163" i="100" s="1"/>
  <c r="AB163" i="100" a="1"/>
  <c r="AB163" i="100" s="1"/>
  <c r="AA163" i="100" a="1"/>
  <c r="AA163" i="100" s="1"/>
  <c r="Z163" i="100" a="1"/>
  <c r="Z163" i="100" s="1"/>
  <c r="Y163" i="100" a="1"/>
  <c r="Y163" i="100" s="1"/>
  <c r="X163" i="100" a="1"/>
  <c r="X163" i="100" s="1"/>
  <c r="W163" i="100" a="1"/>
  <c r="W163" i="100" s="1"/>
  <c r="V163" i="100" a="1"/>
  <c r="V163" i="100" s="1"/>
  <c r="U163" i="100" a="1"/>
  <c r="U163" i="100" s="1"/>
  <c r="T163" i="100" a="1"/>
  <c r="T163" i="100" s="1"/>
  <c r="S163" i="100" a="1"/>
  <c r="S163" i="100" s="1"/>
  <c r="R163" i="100" a="1"/>
  <c r="R163" i="100" s="1"/>
  <c r="Q163" i="100" a="1"/>
  <c r="Q163" i="100" s="1"/>
  <c r="P163" i="100" a="1"/>
  <c r="P163" i="100" s="1"/>
  <c r="O163" i="100" a="1"/>
  <c r="O163" i="100" s="1"/>
  <c r="N163" i="100" a="1"/>
  <c r="N163" i="100" s="1"/>
  <c r="M163" i="100" a="1"/>
  <c r="M163" i="100" s="1"/>
  <c r="L163" i="100" a="1"/>
  <c r="L163" i="100" s="1"/>
  <c r="K163" i="100" a="1"/>
  <c r="K163" i="100" s="1"/>
  <c r="J163" i="100" a="1"/>
  <c r="J163" i="100" s="1"/>
  <c r="I163" i="100" a="1"/>
  <c r="I163" i="100" s="1"/>
  <c r="H163" i="100" a="1"/>
  <c r="H163" i="100" s="1"/>
  <c r="G163" i="100" a="1"/>
  <c r="G163" i="100" s="1"/>
  <c r="F163" i="100" a="1"/>
  <c r="F163" i="100" s="1"/>
  <c r="E163" i="100" a="1"/>
  <c r="E163" i="100" s="1"/>
  <c r="D163" i="100" a="1"/>
  <c r="D163" i="100" s="1"/>
  <c r="AH162" i="100" a="1"/>
  <c r="AH162" i="100" s="1"/>
  <c r="AG162" i="100" a="1"/>
  <c r="AG162" i="100" s="1"/>
  <c r="AF162" i="100" a="1"/>
  <c r="AF162" i="100" s="1"/>
  <c r="AE162" i="100" a="1"/>
  <c r="AE162" i="100" s="1"/>
  <c r="AD162" i="100" a="1"/>
  <c r="AD162" i="100" s="1"/>
  <c r="AC162" i="100" a="1"/>
  <c r="AC162" i="100" s="1"/>
  <c r="AB162" i="100" a="1"/>
  <c r="AB162" i="100" s="1"/>
  <c r="AA162" i="100" a="1"/>
  <c r="AA162" i="100" s="1"/>
  <c r="Z162" i="100" a="1"/>
  <c r="Z162" i="100" s="1"/>
  <c r="Y162" i="100" a="1"/>
  <c r="Y162" i="100" s="1"/>
  <c r="X162" i="100" a="1"/>
  <c r="X162" i="100" s="1"/>
  <c r="W162" i="100" a="1"/>
  <c r="W162" i="100" s="1"/>
  <c r="V162" i="100" a="1"/>
  <c r="V162" i="100" s="1"/>
  <c r="U162" i="100" a="1"/>
  <c r="U162" i="100" s="1"/>
  <c r="T162" i="100" a="1"/>
  <c r="T162" i="100" s="1"/>
  <c r="S162" i="100" a="1"/>
  <c r="S162" i="100" s="1"/>
  <c r="R162" i="100" a="1"/>
  <c r="R162" i="100" s="1"/>
  <c r="Q162" i="100" a="1"/>
  <c r="Q162" i="100" s="1"/>
  <c r="P162" i="100" a="1"/>
  <c r="P162" i="100" s="1"/>
  <c r="O162" i="100" a="1"/>
  <c r="O162" i="100" s="1"/>
  <c r="N162" i="100" a="1"/>
  <c r="N162" i="100" s="1"/>
  <c r="M162" i="100" a="1"/>
  <c r="M162" i="100" s="1"/>
  <c r="L162" i="100" a="1"/>
  <c r="L162" i="100" s="1"/>
  <c r="K162" i="100" a="1"/>
  <c r="K162" i="100" s="1"/>
  <c r="J162" i="100" a="1"/>
  <c r="J162" i="100" s="1"/>
  <c r="I162" i="100" a="1"/>
  <c r="I162" i="100" s="1"/>
  <c r="H162" i="100" a="1"/>
  <c r="H162" i="100" s="1"/>
  <c r="G162" i="100" a="1"/>
  <c r="G162" i="100" s="1"/>
  <c r="F162" i="100" a="1"/>
  <c r="F162" i="100" s="1"/>
  <c r="E162" i="100" a="1"/>
  <c r="E162" i="100" s="1"/>
  <c r="D162" i="100" a="1"/>
  <c r="D162" i="100" s="1"/>
  <c r="AH161" i="100" a="1"/>
  <c r="AH161" i="100" s="1"/>
  <c r="AG161" i="100" a="1"/>
  <c r="AG161" i="100" s="1"/>
  <c r="AF161" i="100" a="1"/>
  <c r="AF161" i="100" s="1"/>
  <c r="AE161" i="100" a="1"/>
  <c r="AE161" i="100" s="1"/>
  <c r="AD161" i="100" a="1"/>
  <c r="AD161" i="100" s="1"/>
  <c r="AC161" i="100" a="1"/>
  <c r="AC161" i="100" s="1"/>
  <c r="AB161" i="100" a="1"/>
  <c r="AB161" i="100" s="1"/>
  <c r="AA161" i="100" a="1"/>
  <c r="AA161" i="100" s="1"/>
  <c r="Z161" i="100" a="1"/>
  <c r="Z161" i="100" s="1"/>
  <c r="Y161" i="100" a="1"/>
  <c r="Y161" i="100" s="1"/>
  <c r="X161" i="100" a="1"/>
  <c r="X161" i="100" s="1"/>
  <c r="W161" i="100" a="1"/>
  <c r="W161" i="100" s="1"/>
  <c r="V161" i="100" a="1"/>
  <c r="V161" i="100" s="1"/>
  <c r="U161" i="100" a="1"/>
  <c r="U161" i="100" s="1"/>
  <c r="T161" i="100" a="1"/>
  <c r="T161" i="100" s="1"/>
  <c r="S161" i="100" a="1"/>
  <c r="S161" i="100" s="1"/>
  <c r="R161" i="100" a="1"/>
  <c r="R161" i="100" s="1"/>
  <c r="Q161" i="100" a="1"/>
  <c r="Q161" i="100" s="1"/>
  <c r="P161" i="100" a="1"/>
  <c r="P161" i="100" s="1"/>
  <c r="O161" i="100" a="1"/>
  <c r="O161" i="100" s="1"/>
  <c r="N161" i="100" a="1"/>
  <c r="N161" i="100" s="1"/>
  <c r="M161" i="100" a="1"/>
  <c r="M161" i="100" s="1"/>
  <c r="L161" i="100" a="1"/>
  <c r="L161" i="100" s="1"/>
  <c r="K161" i="100" a="1"/>
  <c r="K161" i="100" s="1"/>
  <c r="J161" i="100" a="1"/>
  <c r="J161" i="100" s="1"/>
  <c r="I161" i="100" a="1"/>
  <c r="I161" i="100" s="1"/>
  <c r="H161" i="100" a="1"/>
  <c r="H161" i="100" s="1"/>
  <c r="G161" i="100" a="1"/>
  <c r="G161" i="100" s="1"/>
  <c r="F161" i="100" a="1"/>
  <c r="F161" i="100" s="1"/>
  <c r="E161" i="100" a="1"/>
  <c r="E161" i="100" s="1"/>
  <c r="D161" i="100" a="1"/>
  <c r="D161" i="100" s="1"/>
  <c r="AH160" i="100" a="1"/>
  <c r="AH160" i="100" s="1"/>
  <c r="AG160" i="100" a="1"/>
  <c r="AG160" i="100" s="1"/>
  <c r="AF160" i="100" a="1"/>
  <c r="AF160" i="100" s="1"/>
  <c r="AE160" i="100" a="1"/>
  <c r="AE160" i="100" s="1"/>
  <c r="AD160" i="100" a="1"/>
  <c r="AD160" i="100" s="1"/>
  <c r="AC160" i="100" a="1"/>
  <c r="AC160" i="100" s="1"/>
  <c r="AB160" i="100" a="1"/>
  <c r="AB160" i="100" s="1"/>
  <c r="AA160" i="100" a="1"/>
  <c r="AA160" i="100" s="1"/>
  <c r="Z160" i="100" a="1"/>
  <c r="Z160" i="100" s="1"/>
  <c r="Y160" i="100" a="1"/>
  <c r="Y160" i="100" s="1"/>
  <c r="X160" i="100" a="1"/>
  <c r="X160" i="100" s="1"/>
  <c r="W160" i="100" a="1"/>
  <c r="W160" i="100" s="1"/>
  <c r="V160" i="100" a="1"/>
  <c r="V160" i="100" s="1"/>
  <c r="U160" i="100" a="1"/>
  <c r="U160" i="100" s="1"/>
  <c r="T160" i="100" a="1"/>
  <c r="T160" i="100" s="1"/>
  <c r="S160" i="100" a="1"/>
  <c r="S160" i="100" s="1"/>
  <c r="R160" i="100" a="1"/>
  <c r="R160" i="100" s="1"/>
  <c r="Q160" i="100" a="1"/>
  <c r="Q160" i="100" s="1"/>
  <c r="P160" i="100" a="1"/>
  <c r="P160" i="100" s="1"/>
  <c r="O160" i="100" a="1"/>
  <c r="O160" i="100" s="1"/>
  <c r="N160" i="100" a="1"/>
  <c r="N160" i="100" s="1"/>
  <c r="M160" i="100" a="1"/>
  <c r="M160" i="100" s="1"/>
  <c r="L160" i="100" a="1"/>
  <c r="L160" i="100" s="1"/>
  <c r="K160" i="100" a="1"/>
  <c r="K160" i="100" s="1"/>
  <c r="J160" i="100" a="1"/>
  <c r="J160" i="100" s="1"/>
  <c r="I160" i="100" a="1"/>
  <c r="I160" i="100" s="1"/>
  <c r="H160" i="100" a="1"/>
  <c r="H160" i="100" s="1"/>
  <c r="G160" i="100" a="1"/>
  <c r="G160" i="100" s="1"/>
  <c r="F160" i="100" a="1"/>
  <c r="F160" i="100" s="1"/>
  <c r="E160" i="100" a="1"/>
  <c r="E160" i="100" s="1"/>
  <c r="D160" i="100" a="1"/>
  <c r="D160" i="100" s="1"/>
  <c r="AH159" i="100" a="1"/>
  <c r="AH159" i="100" s="1"/>
  <c r="AG159" i="100" a="1"/>
  <c r="AG159" i="100" s="1"/>
  <c r="AF159" i="100" a="1"/>
  <c r="AF159" i="100" s="1"/>
  <c r="AE159" i="100" a="1"/>
  <c r="AE159" i="100" s="1"/>
  <c r="AD159" i="100" a="1"/>
  <c r="AD159" i="100" s="1"/>
  <c r="AC159" i="100" a="1"/>
  <c r="AC159" i="100" s="1"/>
  <c r="AB159" i="100" a="1"/>
  <c r="AB159" i="100" s="1"/>
  <c r="AA159" i="100" a="1"/>
  <c r="AA159" i="100" s="1"/>
  <c r="Z159" i="100" a="1"/>
  <c r="Z159" i="100" s="1"/>
  <c r="Y159" i="100" a="1"/>
  <c r="Y159" i="100" s="1"/>
  <c r="X159" i="100" a="1"/>
  <c r="X159" i="100" s="1"/>
  <c r="W159" i="100" a="1"/>
  <c r="W159" i="100" s="1"/>
  <c r="V159" i="100" a="1"/>
  <c r="V159" i="100" s="1"/>
  <c r="U159" i="100" a="1"/>
  <c r="U159" i="100" s="1"/>
  <c r="T159" i="100" a="1"/>
  <c r="T159" i="100" s="1"/>
  <c r="S159" i="100" a="1"/>
  <c r="S159" i="100" s="1"/>
  <c r="R159" i="100" a="1"/>
  <c r="R159" i="100" s="1"/>
  <c r="Q159" i="100" a="1"/>
  <c r="Q159" i="100" s="1"/>
  <c r="P159" i="100" a="1"/>
  <c r="P159" i="100" s="1"/>
  <c r="O159" i="100" a="1"/>
  <c r="O159" i="100" s="1"/>
  <c r="N159" i="100" a="1"/>
  <c r="N159" i="100" s="1"/>
  <c r="M159" i="100" a="1"/>
  <c r="M159" i="100" s="1"/>
  <c r="L159" i="100" a="1"/>
  <c r="L159" i="100" s="1"/>
  <c r="K159" i="100" a="1"/>
  <c r="K159" i="100" s="1"/>
  <c r="J159" i="100" a="1"/>
  <c r="J159" i="100" s="1"/>
  <c r="I159" i="100" a="1"/>
  <c r="I159" i="100" s="1"/>
  <c r="H159" i="100" a="1"/>
  <c r="H159" i="100" s="1"/>
  <c r="G159" i="100" a="1"/>
  <c r="G159" i="100" s="1"/>
  <c r="F159" i="100" a="1"/>
  <c r="F159" i="100" s="1"/>
  <c r="E159" i="100" a="1"/>
  <c r="E159" i="100" s="1"/>
  <c r="D159" i="100" a="1"/>
  <c r="D159" i="100" s="1"/>
  <c r="AH158" i="100" a="1"/>
  <c r="AH158" i="100" s="1"/>
  <c r="AG158" i="100" a="1"/>
  <c r="AG158" i="100" s="1"/>
  <c r="AF158" i="100" a="1"/>
  <c r="AF158" i="100" s="1"/>
  <c r="AE158" i="100" a="1"/>
  <c r="AE158" i="100" s="1"/>
  <c r="AD158" i="100" a="1"/>
  <c r="AD158" i="100" s="1"/>
  <c r="AC158" i="100" a="1"/>
  <c r="AC158" i="100" s="1"/>
  <c r="AB158" i="100" a="1"/>
  <c r="AB158" i="100" s="1"/>
  <c r="AA158" i="100" a="1"/>
  <c r="AA158" i="100" s="1"/>
  <c r="Z158" i="100" a="1"/>
  <c r="Z158" i="100" s="1"/>
  <c r="Y158" i="100" a="1"/>
  <c r="Y158" i="100" s="1"/>
  <c r="X158" i="100" a="1"/>
  <c r="X158" i="100" s="1"/>
  <c r="W158" i="100" a="1"/>
  <c r="W158" i="100" s="1"/>
  <c r="V158" i="100" a="1"/>
  <c r="V158" i="100" s="1"/>
  <c r="U158" i="100" a="1"/>
  <c r="U158" i="100" s="1"/>
  <c r="T158" i="100" a="1"/>
  <c r="T158" i="100" s="1"/>
  <c r="S158" i="100" a="1"/>
  <c r="S158" i="100" s="1"/>
  <c r="R158" i="100" a="1"/>
  <c r="R158" i="100" s="1"/>
  <c r="Q158" i="100" a="1"/>
  <c r="Q158" i="100" s="1"/>
  <c r="P158" i="100" a="1"/>
  <c r="P158" i="100" s="1"/>
  <c r="O158" i="100" a="1"/>
  <c r="O158" i="100" s="1"/>
  <c r="N158" i="100" a="1"/>
  <c r="N158" i="100" s="1"/>
  <c r="M158" i="100" a="1"/>
  <c r="M158" i="100" s="1"/>
  <c r="L158" i="100" a="1"/>
  <c r="L158" i="100" s="1"/>
  <c r="K158" i="100" a="1"/>
  <c r="K158" i="100" s="1"/>
  <c r="J158" i="100" a="1"/>
  <c r="J158" i="100" s="1"/>
  <c r="I158" i="100" a="1"/>
  <c r="I158" i="100" s="1"/>
  <c r="H158" i="100" a="1"/>
  <c r="H158" i="100" s="1"/>
  <c r="G158" i="100" a="1"/>
  <c r="G158" i="100" s="1"/>
  <c r="F158" i="100" a="1"/>
  <c r="F158" i="100" s="1"/>
  <c r="E158" i="100" a="1"/>
  <c r="E158" i="100" s="1"/>
  <c r="D158" i="100" a="1"/>
  <c r="D158" i="100" s="1"/>
  <c r="AH157" i="100" a="1"/>
  <c r="AH157" i="100" s="1"/>
  <c r="AG157" i="100" a="1"/>
  <c r="AG157" i="100" s="1"/>
  <c r="AF157" i="100" a="1"/>
  <c r="AF157" i="100" s="1"/>
  <c r="AE157" i="100" a="1"/>
  <c r="AE157" i="100" s="1"/>
  <c r="AD157" i="100" a="1"/>
  <c r="AD157" i="100" s="1"/>
  <c r="AC157" i="100" a="1"/>
  <c r="AC157" i="100" s="1"/>
  <c r="AB157" i="100" a="1"/>
  <c r="AB157" i="100" s="1"/>
  <c r="AA157" i="100" a="1"/>
  <c r="AA157" i="100" s="1"/>
  <c r="Z157" i="100" a="1"/>
  <c r="Z157" i="100" s="1"/>
  <c r="Y157" i="100" a="1"/>
  <c r="Y157" i="100" s="1"/>
  <c r="X157" i="100" a="1"/>
  <c r="X157" i="100" s="1"/>
  <c r="W157" i="100" a="1"/>
  <c r="W157" i="100" s="1"/>
  <c r="V157" i="100" a="1"/>
  <c r="V157" i="100" s="1"/>
  <c r="U157" i="100" a="1"/>
  <c r="U157" i="100" s="1"/>
  <c r="T157" i="100" a="1"/>
  <c r="T157" i="100" s="1"/>
  <c r="S157" i="100" a="1"/>
  <c r="S157" i="100" s="1"/>
  <c r="R157" i="100" a="1"/>
  <c r="R157" i="100" s="1"/>
  <c r="Q157" i="100" a="1"/>
  <c r="Q157" i="100" s="1"/>
  <c r="P157" i="100" a="1"/>
  <c r="P157" i="100" s="1"/>
  <c r="O157" i="100" a="1"/>
  <c r="O157" i="100" s="1"/>
  <c r="N157" i="100" a="1"/>
  <c r="N157" i="100" s="1"/>
  <c r="M157" i="100" a="1"/>
  <c r="M157" i="100" s="1"/>
  <c r="L157" i="100" a="1"/>
  <c r="L157" i="100" s="1"/>
  <c r="K157" i="100" a="1"/>
  <c r="K157" i="100" s="1"/>
  <c r="J157" i="100" a="1"/>
  <c r="J157" i="100" s="1"/>
  <c r="I157" i="100" a="1"/>
  <c r="I157" i="100" s="1"/>
  <c r="H157" i="100" a="1"/>
  <c r="H157" i="100" s="1"/>
  <c r="G157" i="100" a="1"/>
  <c r="G157" i="100" s="1"/>
  <c r="F157" i="100" a="1"/>
  <c r="F157" i="100" s="1"/>
  <c r="E157" i="100" a="1"/>
  <c r="E157" i="100" s="1"/>
  <c r="D157" i="100" a="1"/>
  <c r="D157" i="100" s="1"/>
  <c r="AH156" i="100" a="1"/>
  <c r="AH156" i="100" s="1"/>
  <c r="AG156" i="100" a="1"/>
  <c r="AG156" i="100" s="1"/>
  <c r="AF156" i="100" a="1"/>
  <c r="AF156" i="100" s="1"/>
  <c r="AE156" i="100" a="1"/>
  <c r="AE156" i="100" s="1"/>
  <c r="AD156" i="100" a="1"/>
  <c r="AD156" i="100" s="1"/>
  <c r="AC156" i="100" a="1"/>
  <c r="AC156" i="100" s="1"/>
  <c r="AB156" i="100" a="1"/>
  <c r="AB156" i="100" s="1"/>
  <c r="AA156" i="100" a="1"/>
  <c r="AA156" i="100" s="1"/>
  <c r="Z156" i="100" a="1"/>
  <c r="Z156" i="100" s="1"/>
  <c r="Y156" i="100" a="1"/>
  <c r="Y156" i="100" s="1"/>
  <c r="X156" i="100" a="1"/>
  <c r="X156" i="100" s="1"/>
  <c r="W156" i="100" a="1"/>
  <c r="W156" i="100" s="1"/>
  <c r="V156" i="100" a="1"/>
  <c r="V156" i="100" s="1"/>
  <c r="U156" i="100" a="1"/>
  <c r="U156" i="100" s="1"/>
  <c r="T156" i="100" a="1"/>
  <c r="T156" i="100" s="1"/>
  <c r="S156" i="100" a="1"/>
  <c r="S156" i="100" s="1"/>
  <c r="R156" i="100" a="1"/>
  <c r="R156" i="100" s="1"/>
  <c r="Q156" i="100" a="1"/>
  <c r="Q156" i="100" s="1"/>
  <c r="P156" i="100" a="1"/>
  <c r="P156" i="100" s="1"/>
  <c r="O156" i="100" a="1"/>
  <c r="O156" i="100" s="1"/>
  <c r="N156" i="100" a="1"/>
  <c r="N156" i="100" s="1"/>
  <c r="M156" i="100" a="1"/>
  <c r="M156" i="100" s="1"/>
  <c r="L156" i="100" a="1"/>
  <c r="L156" i="100" s="1"/>
  <c r="K156" i="100" a="1"/>
  <c r="K156" i="100" s="1"/>
  <c r="J156" i="100" a="1"/>
  <c r="J156" i="100" s="1"/>
  <c r="I156" i="100" a="1"/>
  <c r="I156" i="100" s="1"/>
  <c r="H156" i="100" a="1"/>
  <c r="H156" i="100" s="1"/>
  <c r="G156" i="100" a="1"/>
  <c r="G156" i="100" s="1"/>
  <c r="F156" i="100" a="1"/>
  <c r="F156" i="100" s="1"/>
  <c r="E156" i="100" a="1"/>
  <c r="E156" i="100" s="1"/>
  <c r="D156" i="100" a="1"/>
  <c r="D156" i="100" s="1"/>
  <c r="AH155" i="100" a="1"/>
  <c r="AH155" i="100" s="1"/>
  <c r="AG155" i="100" a="1"/>
  <c r="AG155" i="100" s="1"/>
  <c r="AF155" i="100" a="1"/>
  <c r="AF155" i="100" s="1"/>
  <c r="AE155" i="100" a="1"/>
  <c r="AE155" i="100" s="1"/>
  <c r="AD155" i="100" a="1"/>
  <c r="AD155" i="100" s="1"/>
  <c r="AC155" i="100" a="1"/>
  <c r="AC155" i="100" s="1"/>
  <c r="AB155" i="100" a="1"/>
  <c r="AB155" i="100" s="1"/>
  <c r="AA155" i="100" a="1"/>
  <c r="AA155" i="100" s="1"/>
  <c r="Z155" i="100" a="1"/>
  <c r="Z155" i="100" s="1"/>
  <c r="Y155" i="100" a="1"/>
  <c r="Y155" i="100" s="1"/>
  <c r="X155" i="100" a="1"/>
  <c r="X155" i="100" s="1"/>
  <c r="W155" i="100" a="1"/>
  <c r="W155" i="100" s="1"/>
  <c r="V155" i="100" a="1"/>
  <c r="V155" i="100" s="1"/>
  <c r="U155" i="100" a="1"/>
  <c r="U155" i="100" s="1"/>
  <c r="T155" i="100" a="1"/>
  <c r="T155" i="100" s="1"/>
  <c r="S155" i="100" a="1"/>
  <c r="S155" i="100" s="1"/>
  <c r="R155" i="100" a="1"/>
  <c r="R155" i="100" s="1"/>
  <c r="Q155" i="100" a="1"/>
  <c r="Q155" i="100" s="1"/>
  <c r="P155" i="100" a="1"/>
  <c r="P155" i="100" s="1"/>
  <c r="O155" i="100" a="1"/>
  <c r="O155" i="100" s="1"/>
  <c r="N155" i="100" a="1"/>
  <c r="N155" i="100" s="1"/>
  <c r="M155" i="100" a="1"/>
  <c r="M155" i="100" s="1"/>
  <c r="L155" i="100" a="1"/>
  <c r="L155" i="100" s="1"/>
  <c r="K155" i="100" a="1"/>
  <c r="K155" i="100" s="1"/>
  <c r="J155" i="100" a="1"/>
  <c r="J155" i="100" s="1"/>
  <c r="I155" i="100" a="1"/>
  <c r="I155" i="100" s="1"/>
  <c r="H155" i="100" a="1"/>
  <c r="H155" i="100" s="1"/>
  <c r="G155" i="100" a="1"/>
  <c r="G155" i="100" s="1"/>
  <c r="F155" i="100" a="1"/>
  <c r="F155" i="100" s="1"/>
  <c r="E155" i="100" a="1"/>
  <c r="E155" i="100" s="1"/>
  <c r="D155" i="100" a="1"/>
  <c r="D155" i="100" s="1"/>
  <c r="AH154" i="100" a="1"/>
  <c r="AH154" i="100" s="1"/>
  <c r="AG154" i="100" a="1"/>
  <c r="AG154" i="100" s="1"/>
  <c r="AF154" i="100" a="1"/>
  <c r="AF154" i="100" s="1"/>
  <c r="AE154" i="100" a="1"/>
  <c r="AE154" i="100" s="1"/>
  <c r="AD154" i="100" a="1"/>
  <c r="AD154" i="100" s="1"/>
  <c r="AC154" i="100" a="1"/>
  <c r="AC154" i="100" s="1"/>
  <c r="AB154" i="100" a="1"/>
  <c r="AB154" i="100" s="1"/>
  <c r="AA154" i="100" a="1"/>
  <c r="AA154" i="100" s="1"/>
  <c r="Z154" i="100" a="1"/>
  <c r="Z154" i="100" s="1"/>
  <c r="Y154" i="100" a="1"/>
  <c r="Y154" i="100" s="1"/>
  <c r="X154" i="100" a="1"/>
  <c r="X154" i="100" s="1"/>
  <c r="W154" i="100" a="1"/>
  <c r="W154" i="100" s="1"/>
  <c r="V154" i="100" a="1"/>
  <c r="V154" i="100" s="1"/>
  <c r="U154" i="100" a="1"/>
  <c r="U154" i="100" s="1"/>
  <c r="T154" i="100" a="1"/>
  <c r="T154" i="100" s="1"/>
  <c r="S154" i="100" a="1"/>
  <c r="S154" i="100" s="1"/>
  <c r="R154" i="100" a="1"/>
  <c r="R154" i="100" s="1"/>
  <c r="Q154" i="100" a="1"/>
  <c r="Q154" i="100" s="1"/>
  <c r="P154" i="100" a="1"/>
  <c r="P154" i="100" s="1"/>
  <c r="O154" i="100" a="1"/>
  <c r="O154" i="100" s="1"/>
  <c r="N154" i="100" a="1"/>
  <c r="N154" i="100" s="1"/>
  <c r="M154" i="100" a="1"/>
  <c r="M154" i="100" s="1"/>
  <c r="L154" i="100" a="1"/>
  <c r="L154" i="100" s="1"/>
  <c r="K154" i="100" a="1"/>
  <c r="K154" i="100" s="1"/>
  <c r="J154" i="100" a="1"/>
  <c r="J154" i="100" s="1"/>
  <c r="I154" i="100" a="1"/>
  <c r="I154" i="100" s="1"/>
  <c r="H154" i="100" a="1"/>
  <c r="H154" i="100" s="1"/>
  <c r="G154" i="100" a="1"/>
  <c r="G154" i="100" s="1"/>
  <c r="F154" i="100" a="1"/>
  <c r="F154" i="100" s="1"/>
  <c r="E154" i="100" a="1"/>
  <c r="E154" i="100" s="1"/>
  <c r="D154" i="100" a="1"/>
  <c r="D154" i="100" s="1"/>
  <c r="AH153" i="100" a="1"/>
  <c r="AH153" i="100" s="1"/>
  <c r="AG153" i="100" a="1"/>
  <c r="AG153" i="100" s="1"/>
  <c r="AF153" i="100" a="1"/>
  <c r="AF153" i="100" s="1"/>
  <c r="AE153" i="100" a="1"/>
  <c r="AE153" i="100" s="1"/>
  <c r="AD153" i="100" a="1"/>
  <c r="AD153" i="100" s="1"/>
  <c r="AC153" i="100" a="1"/>
  <c r="AC153" i="100" s="1"/>
  <c r="AB153" i="100" a="1"/>
  <c r="AB153" i="100" s="1"/>
  <c r="AA153" i="100" a="1"/>
  <c r="AA153" i="100" s="1"/>
  <c r="Z153" i="100" a="1"/>
  <c r="Z153" i="100" s="1"/>
  <c r="Y153" i="100" a="1"/>
  <c r="Y153" i="100" s="1"/>
  <c r="X153" i="100" a="1"/>
  <c r="X153" i="100" s="1"/>
  <c r="W153" i="100" a="1"/>
  <c r="W153" i="100" s="1"/>
  <c r="V153" i="100" a="1"/>
  <c r="V153" i="100" s="1"/>
  <c r="U153" i="100" a="1"/>
  <c r="U153" i="100" s="1"/>
  <c r="T153" i="100" a="1"/>
  <c r="T153" i="100" s="1"/>
  <c r="S153" i="100" a="1"/>
  <c r="S153" i="100" s="1"/>
  <c r="R153" i="100" a="1"/>
  <c r="R153" i="100" s="1"/>
  <c r="Q153" i="100" a="1"/>
  <c r="Q153" i="100" s="1"/>
  <c r="P153" i="100" a="1"/>
  <c r="P153" i="100" s="1"/>
  <c r="O153" i="100" a="1"/>
  <c r="O153" i="100" s="1"/>
  <c r="N153" i="100" a="1"/>
  <c r="N153" i="100" s="1"/>
  <c r="M153" i="100" a="1"/>
  <c r="M153" i="100" s="1"/>
  <c r="L153" i="100" a="1"/>
  <c r="L153" i="100" s="1"/>
  <c r="K153" i="100" a="1"/>
  <c r="K153" i="100" s="1"/>
  <c r="J153" i="100" a="1"/>
  <c r="J153" i="100" s="1"/>
  <c r="I153" i="100" a="1"/>
  <c r="I153" i="100" s="1"/>
  <c r="H153" i="100" a="1"/>
  <c r="H153" i="100" s="1"/>
  <c r="G153" i="100" a="1"/>
  <c r="G153" i="100" s="1"/>
  <c r="F153" i="100" a="1"/>
  <c r="F153" i="100" s="1"/>
  <c r="E153" i="100" a="1"/>
  <c r="E153" i="100" s="1"/>
  <c r="D153" i="100" a="1"/>
  <c r="D153" i="100" s="1"/>
  <c r="AH152" i="100" a="1"/>
  <c r="AH152" i="100" s="1"/>
  <c r="AG152" i="100" a="1"/>
  <c r="AG152" i="100" s="1"/>
  <c r="AF152" i="100" a="1"/>
  <c r="AF152" i="100" s="1"/>
  <c r="AE152" i="100" a="1"/>
  <c r="AE152" i="100" s="1"/>
  <c r="AD152" i="100" a="1"/>
  <c r="AD152" i="100" s="1"/>
  <c r="AC152" i="100" a="1"/>
  <c r="AC152" i="100" s="1"/>
  <c r="AB152" i="100" a="1"/>
  <c r="AB152" i="100" s="1"/>
  <c r="AA152" i="100" a="1"/>
  <c r="AA152" i="100" s="1"/>
  <c r="Z152" i="100" a="1"/>
  <c r="Z152" i="100" s="1"/>
  <c r="Y152" i="100" a="1"/>
  <c r="Y152" i="100" s="1"/>
  <c r="X152" i="100" a="1"/>
  <c r="X152" i="100" s="1"/>
  <c r="W152" i="100" a="1"/>
  <c r="W152" i="100" s="1"/>
  <c r="V152" i="100" a="1"/>
  <c r="V152" i="100" s="1"/>
  <c r="U152" i="100" a="1"/>
  <c r="U152" i="100" s="1"/>
  <c r="T152" i="100" a="1"/>
  <c r="T152" i="100" s="1"/>
  <c r="S152" i="100" a="1"/>
  <c r="S152" i="100" s="1"/>
  <c r="R152" i="100" a="1"/>
  <c r="R152" i="100" s="1"/>
  <c r="Q152" i="100" a="1"/>
  <c r="Q152" i="100" s="1"/>
  <c r="P152" i="100" a="1"/>
  <c r="P152" i="100" s="1"/>
  <c r="O152" i="100" a="1"/>
  <c r="O152" i="100" s="1"/>
  <c r="N152" i="100" a="1"/>
  <c r="N152" i="100" s="1"/>
  <c r="M152" i="100" a="1"/>
  <c r="M152" i="100" s="1"/>
  <c r="L152" i="100" a="1"/>
  <c r="L152" i="100" s="1"/>
  <c r="K152" i="100" a="1"/>
  <c r="K152" i="100" s="1"/>
  <c r="J152" i="100" a="1"/>
  <c r="J152" i="100" s="1"/>
  <c r="I152" i="100" a="1"/>
  <c r="I152" i="100" s="1"/>
  <c r="H152" i="100" a="1"/>
  <c r="H152" i="100" s="1"/>
  <c r="G152" i="100" a="1"/>
  <c r="G152" i="100" s="1"/>
  <c r="F152" i="100" a="1"/>
  <c r="F152" i="100" s="1"/>
  <c r="E152" i="100" a="1"/>
  <c r="E152" i="100" s="1"/>
  <c r="D152" i="100" a="1"/>
  <c r="D152" i="100" s="1"/>
  <c r="AH151" i="100" a="1"/>
  <c r="AH151" i="100" s="1"/>
  <c r="AG151" i="100" a="1"/>
  <c r="AG151" i="100" s="1"/>
  <c r="AF151" i="100" a="1"/>
  <c r="AF151" i="100" s="1"/>
  <c r="AE151" i="100" a="1"/>
  <c r="AE151" i="100" s="1"/>
  <c r="AD151" i="100" a="1"/>
  <c r="AD151" i="100" s="1"/>
  <c r="AC151" i="100" a="1"/>
  <c r="AC151" i="100" s="1"/>
  <c r="AB151" i="100" a="1"/>
  <c r="AB151" i="100" s="1"/>
  <c r="AA151" i="100" a="1"/>
  <c r="AA151" i="100" s="1"/>
  <c r="Z151" i="100" a="1"/>
  <c r="Z151" i="100" s="1"/>
  <c r="Y151" i="100" a="1"/>
  <c r="Y151" i="100" s="1"/>
  <c r="X151" i="100" a="1"/>
  <c r="X151" i="100" s="1"/>
  <c r="W151" i="100" a="1"/>
  <c r="W151" i="100" s="1"/>
  <c r="V151" i="100" a="1"/>
  <c r="V151" i="100" s="1"/>
  <c r="U151" i="100" a="1"/>
  <c r="U151" i="100" s="1"/>
  <c r="T151" i="100" a="1"/>
  <c r="T151" i="100" s="1"/>
  <c r="S151" i="100" a="1"/>
  <c r="S151" i="100" s="1"/>
  <c r="R151" i="100" a="1"/>
  <c r="R151" i="100" s="1"/>
  <c r="Q151" i="100" a="1"/>
  <c r="Q151" i="100" s="1"/>
  <c r="P151" i="100" a="1"/>
  <c r="P151" i="100" s="1"/>
  <c r="O151" i="100" a="1"/>
  <c r="O151" i="100" s="1"/>
  <c r="N151" i="100" a="1"/>
  <c r="N151" i="100" s="1"/>
  <c r="M151" i="100" a="1"/>
  <c r="M151" i="100" s="1"/>
  <c r="L151" i="100" a="1"/>
  <c r="L151" i="100" s="1"/>
  <c r="K151" i="100" a="1"/>
  <c r="K151" i="100" s="1"/>
  <c r="J151" i="100" a="1"/>
  <c r="J151" i="100" s="1"/>
  <c r="I151" i="100" a="1"/>
  <c r="I151" i="100" s="1"/>
  <c r="H151" i="100" a="1"/>
  <c r="H151" i="100" s="1"/>
  <c r="G151" i="100" a="1"/>
  <c r="G151" i="100" s="1"/>
  <c r="F151" i="100" a="1"/>
  <c r="F151" i="100" s="1"/>
  <c r="E151" i="100" a="1"/>
  <c r="E151" i="100" s="1"/>
  <c r="D151" i="100" a="1"/>
  <c r="D151" i="100" s="1"/>
  <c r="AH150" i="100" a="1"/>
  <c r="AH150" i="100" s="1"/>
  <c r="AG150" i="100" a="1"/>
  <c r="AG150" i="100" s="1"/>
  <c r="AF150" i="100" a="1"/>
  <c r="AF150" i="100" s="1"/>
  <c r="AE150" i="100" a="1"/>
  <c r="AE150" i="100" s="1"/>
  <c r="AD150" i="100" a="1"/>
  <c r="AD150" i="100" s="1"/>
  <c r="AC150" i="100" a="1"/>
  <c r="AC150" i="100" s="1"/>
  <c r="AB150" i="100" a="1"/>
  <c r="AB150" i="100" s="1"/>
  <c r="AA150" i="100" a="1"/>
  <c r="AA150" i="100" s="1"/>
  <c r="Z150" i="100" a="1"/>
  <c r="Z150" i="100" s="1"/>
  <c r="Y150" i="100" a="1"/>
  <c r="Y150" i="100" s="1"/>
  <c r="X150" i="100" a="1"/>
  <c r="X150" i="100" s="1"/>
  <c r="W150" i="100" a="1"/>
  <c r="W150" i="100" s="1"/>
  <c r="V150" i="100" a="1"/>
  <c r="V150" i="100" s="1"/>
  <c r="U150" i="100" a="1"/>
  <c r="U150" i="100" s="1"/>
  <c r="T150" i="100" a="1"/>
  <c r="T150" i="100" s="1"/>
  <c r="S150" i="100" a="1"/>
  <c r="S150" i="100" s="1"/>
  <c r="R150" i="100" a="1"/>
  <c r="R150" i="100" s="1"/>
  <c r="Q150" i="100" a="1"/>
  <c r="Q150" i="100" s="1"/>
  <c r="P150" i="100" a="1"/>
  <c r="P150" i="100" s="1"/>
  <c r="O150" i="100" a="1"/>
  <c r="O150" i="100" s="1"/>
  <c r="N150" i="100" a="1"/>
  <c r="N150" i="100" s="1"/>
  <c r="M150" i="100" a="1"/>
  <c r="M150" i="100" s="1"/>
  <c r="L150" i="100" a="1"/>
  <c r="L150" i="100" s="1"/>
  <c r="K150" i="100" a="1"/>
  <c r="K150" i="100" s="1"/>
  <c r="J150" i="100" a="1"/>
  <c r="J150" i="100" s="1"/>
  <c r="I150" i="100" a="1"/>
  <c r="I150" i="100" s="1"/>
  <c r="H150" i="100" a="1"/>
  <c r="H150" i="100" s="1"/>
  <c r="G150" i="100" a="1"/>
  <c r="G150" i="100" s="1"/>
  <c r="F150" i="100" a="1"/>
  <c r="F150" i="100" s="1"/>
  <c r="E150" i="100" a="1"/>
  <c r="E150" i="100" s="1"/>
  <c r="D150" i="100" a="1"/>
  <c r="D150" i="100" s="1"/>
  <c r="AH149" i="100" a="1"/>
  <c r="AH149" i="100" s="1"/>
  <c r="AG149" i="100" a="1"/>
  <c r="AG149" i="100" s="1"/>
  <c r="AF149" i="100" a="1"/>
  <c r="AF149" i="100" s="1"/>
  <c r="AE149" i="100" a="1"/>
  <c r="AE149" i="100" s="1"/>
  <c r="AD149" i="100" a="1"/>
  <c r="AD149" i="100" s="1"/>
  <c r="AC149" i="100" a="1"/>
  <c r="AC149" i="100" s="1"/>
  <c r="AB149" i="100" a="1"/>
  <c r="AB149" i="100" s="1"/>
  <c r="AA149" i="100" a="1"/>
  <c r="AA149" i="100" s="1"/>
  <c r="Z149" i="100" a="1"/>
  <c r="Z149" i="100" s="1"/>
  <c r="Y149" i="100" a="1"/>
  <c r="Y149" i="100" s="1"/>
  <c r="X149" i="100" a="1"/>
  <c r="X149" i="100" s="1"/>
  <c r="W149" i="100" a="1"/>
  <c r="W149" i="100" s="1"/>
  <c r="V149" i="100" a="1"/>
  <c r="V149" i="100" s="1"/>
  <c r="U149" i="100" a="1"/>
  <c r="U149" i="100" s="1"/>
  <c r="T149" i="100" a="1"/>
  <c r="T149" i="100" s="1"/>
  <c r="S149" i="100" a="1"/>
  <c r="S149" i="100" s="1"/>
  <c r="R149" i="100" a="1"/>
  <c r="R149" i="100" s="1"/>
  <c r="Q149" i="100" a="1"/>
  <c r="Q149" i="100" s="1"/>
  <c r="P149" i="100" a="1"/>
  <c r="P149" i="100" s="1"/>
  <c r="O149" i="100" a="1"/>
  <c r="O149" i="100" s="1"/>
  <c r="N149" i="100" a="1"/>
  <c r="N149" i="100" s="1"/>
  <c r="M149" i="100" a="1"/>
  <c r="M149" i="100" s="1"/>
  <c r="L149" i="100" a="1"/>
  <c r="L149" i="100" s="1"/>
  <c r="K149" i="100" a="1"/>
  <c r="K149" i="100" s="1"/>
  <c r="J149" i="100" a="1"/>
  <c r="J149" i="100" s="1"/>
  <c r="I149" i="100" a="1"/>
  <c r="I149" i="100" s="1"/>
  <c r="H149" i="100" a="1"/>
  <c r="H149" i="100" s="1"/>
  <c r="G149" i="100" a="1"/>
  <c r="G149" i="100" s="1"/>
  <c r="F149" i="100" a="1"/>
  <c r="F149" i="100" s="1"/>
  <c r="E149" i="100" a="1"/>
  <c r="E149" i="100" s="1"/>
  <c r="D149" i="100" a="1"/>
  <c r="D149" i="100" s="1"/>
  <c r="AH148" i="100" a="1"/>
  <c r="AH148" i="100" s="1"/>
  <c r="AG148" i="100" a="1"/>
  <c r="AG148" i="100" s="1"/>
  <c r="AF148" i="100" a="1"/>
  <c r="AF148" i="100" s="1"/>
  <c r="AE148" i="100" a="1"/>
  <c r="AE148" i="100" s="1"/>
  <c r="AD148" i="100" a="1"/>
  <c r="AD148" i="100" s="1"/>
  <c r="AC148" i="100" a="1"/>
  <c r="AC148" i="100" s="1"/>
  <c r="AB148" i="100" a="1"/>
  <c r="AB148" i="100" s="1"/>
  <c r="AA148" i="100" a="1"/>
  <c r="AA148" i="100" s="1"/>
  <c r="Z148" i="100" a="1"/>
  <c r="Z148" i="100" s="1"/>
  <c r="Y148" i="100" a="1"/>
  <c r="Y148" i="100" s="1"/>
  <c r="X148" i="100" a="1"/>
  <c r="X148" i="100" s="1"/>
  <c r="W148" i="100" a="1"/>
  <c r="W148" i="100" s="1"/>
  <c r="V148" i="100" a="1"/>
  <c r="V148" i="100" s="1"/>
  <c r="U148" i="100" a="1"/>
  <c r="U148" i="100" s="1"/>
  <c r="T148" i="100" a="1"/>
  <c r="T148" i="100" s="1"/>
  <c r="S148" i="100" a="1"/>
  <c r="S148" i="100" s="1"/>
  <c r="R148" i="100" a="1"/>
  <c r="R148" i="100" s="1"/>
  <c r="Q148" i="100" a="1"/>
  <c r="Q148" i="100" s="1"/>
  <c r="P148" i="100" a="1"/>
  <c r="P148" i="100" s="1"/>
  <c r="O148" i="100" a="1"/>
  <c r="O148" i="100" s="1"/>
  <c r="N148" i="100" a="1"/>
  <c r="N148" i="100" s="1"/>
  <c r="M148" i="100" a="1"/>
  <c r="M148" i="100" s="1"/>
  <c r="L148" i="100" a="1"/>
  <c r="L148" i="100" s="1"/>
  <c r="K148" i="100" a="1"/>
  <c r="K148" i="100" s="1"/>
  <c r="J148" i="100" a="1"/>
  <c r="J148" i="100" s="1"/>
  <c r="I148" i="100" a="1"/>
  <c r="I148" i="100" s="1"/>
  <c r="H148" i="100" a="1"/>
  <c r="H148" i="100" s="1"/>
  <c r="G148" i="100" a="1"/>
  <c r="G148" i="100" s="1"/>
  <c r="F148" i="100" a="1"/>
  <c r="F148" i="100" s="1"/>
  <c r="E148" i="100" a="1"/>
  <c r="E148" i="100" s="1"/>
  <c r="D148" i="100" a="1"/>
  <c r="D148" i="100" s="1"/>
  <c r="AH147" i="100" a="1"/>
  <c r="AH147" i="100" s="1"/>
  <c r="AG147" i="100" a="1"/>
  <c r="AG147" i="100" s="1"/>
  <c r="AF147" i="100" a="1"/>
  <c r="AF147" i="100" s="1"/>
  <c r="AE147" i="100" a="1"/>
  <c r="AE147" i="100" s="1"/>
  <c r="AD147" i="100" a="1"/>
  <c r="AD147" i="100" s="1"/>
  <c r="AC147" i="100" a="1"/>
  <c r="AC147" i="100" s="1"/>
  <c r="AB147" i="100" a="1"/>
  <c r="AB147" i="100" s="1"/>
  <c r="AA147" i="100" a="1"/>
  <c r="AA147" i="100" s="1"/>
  <c r="Z147" i="100" a="1"/>
  <c r="Z147" i="100" s="1"/>
  <c r="Y147" i="100" a="1"/>
  <c r="Y147" i="100" s="1"/>
  <c r="X147" i="100" a="1"/>
  <c r="X147" i="100" s="1"/>
  <c r="W147" i="100" a="1"/>
  <c r="W147" i="100" s="1"/>
  <c r="V147" i="100" a="1"/>
  <c r="V147" i="100" s="1"/>
  <c r="U147" i="100" a="1"/>
  <c r="U147" i="100" s="1"/>
  <c r="T147" i="100" a="1"/>
  <c r="T147" i="100" s="1"/>
  <c r="S147" i="100" a="1"/>
  <c r="S147" i="100" s="1"/>
  <c r="R147" i="100" a="1"/>
  <c r="R147" i="100" s="1"/>
  <c r="Q147" i="100" a="1"/>
  <c r="Q147" i="100" s="1"/>
  <c r="P147" i="100" a="1"/>
  <c r="P147" i="100" s="1"/>
  <c r="O147" i="100" a="1"/>
  <c r="O147" i="100" s="1"/>
  <c r="N147" i="100" a="1"/>
  <c r="N147" i="100" s="1"/>
  <c r="M147" i="100" a="1"/>
  <c r="M147" i="100" s="1"/>
  <c r="L147" i="100" a="1"/>
  <c r="L147" i="100" s="1"/>
  <c r="K147" i="100" a="1"/>
  <c r="K147" i="100" s="1"/>
  <c r="J147" i="100" a="1"/>
  <c r="J147" i="100" s="1"/>
  <c r="I147" i="100" a="1"/>
  <c r="I147" i="100" s="1"/>
  <c r="H147" i="100" a="1"/>
  <c r="H147" i="100" s="1"/>
  <c r="G147" i="100" a="1"/>
  <c r="G147" i="100" s="1"/>
  <c r="F147" i="100" a="1"/>
  <c r="F147" i="100" s="1"/>
  <c r="E147" i="100" a="1"/>
  <c r="E147" i="100" s="1"/>
  <c r="D147" i="100" a="1"/>
  <c r="D147" i="100" s="1"/>
  <c r="AH146" i="100" a="1"/>
  <c r="AH146" i="100" s="1"/>
  <c r="AG146" i="100" a="1"/>
  <c r="AG146" i="100" s="1"/>
  <c r="AF146" i="100" a="1"/>
  <c r="AF146" i="100" s="1"/>
  <c r="AE146" i="100" a="1"/>
  <c r="AE146" i="100" s="1"/>
  <c r="AD146" i="100" a="1"/>
  <c r="AD146" i="100" s="1"/>
  <c r="AC146" i="100" a="1"/>
  <c r="AC146" i="100" s="1"/>
  <c r="AB146" i="100" a="1"/>
  <c r="AB146" i="100" s="1"/>
  <c r="AA146" i="100" a="1"/>
  <c r="AA146" i="100" s="1"/>
  <c r="Z146" i="100" a="1"/>
  <c r="Z146" i="100" s="1"/>
  <c r="Y146" i="100" a="1"/>
  <c r="Y146" i="100" s="1"/>
  <c r="X146" i="100" a="1"/>
  <c r="X146" i="100" s="1"/>
  <c r="W146" i="100" a="1"/>
  <c r="W146" i="100" s="1"/>
  <c r="V146" i="100" a="1"/>
  <c r="V146" i="100" s="1"/>
  <c r="U146" i="100" a="1"/>
  <c r="U146" i="100" s="1"/>
  <c r="T146" i="100" a="1"/>
  <c r="T146" i="100" s="1"/>
  <c r="S146" i="100" a="1"/>
  <c r="S146" i="100" s="1"/>
  <c r="R146" i="100" a="1"/>
  <c r="R146" i="100" s="1"/>
  <c r="Q146" i="100" a="1"/>
  <c r="Q146" i="100" s="1"/>
  <c r="P146" i="100" a="1"/>
  <c r="P146" i="100" s="1"/>
  <c r="O146" i="100" a="1"/>
  <c r="O146" i="100" s="1"/>
  <c r="N146" i="100" a="1"/>
  <c r="N146" i="100" s="1"/>
  <c r="M146" i="100" a="1"/>
  <c r="M146" i="100" s="1"/>
  <c r="L146" i="100" a="1"/>
  <c r="L146" i="100" s="1"/>
  <c r="K146" i="100" a="1"/>
  <c r="K146" i="100" s="1"/>
  <c r="J146" i="100" a="1"/>
  <c r="J146" i="100" s="1"/>
  <c r="I146" i="100" a="1"/>
  <c r="I146" i="100" s="1"/>
  <c r="H146" i="100" a="1"/>
  <c r="H146" i="100" s="1"/>
  <c r="G146" i="100" a="1"/>
  <c r="G146" i="100" s="1"/>
  <c r="F146" i="100" a="1"/>
  <c r="F146" i="100" s="1"/>
  <c r="E146" i="100" a="1"/>
  <c r="E146" i="100" s="1"/>
  <c r="D146" i="100" a="1"/>
  <c r="D146" i="100" s="1"/>
  <c r="AH145" i="100" a="1"/>
  <c r="AH145" i="100" s="1"/>
  <c r="AG145" i="100" a="1"/>
  <c r="AG145" i="100" s="1"/>
  <c r="AF145" i="100" a="1"/>
  <c r="AF145" i="100" s="1"/>
  <c r="AE145" i="100" a="1"/>
  <c r="AE145" i="100" s="1"/>
  <c r="AD145" i="100" a="1"/>
  <c r="AD145" i="100" s="1"/>
  <c r="AC145" i="100" a="1"/>
  <c r="AC145" i="100" s="1"/>
  <c r="AB145" i="100" a="1"/>
  <c r="AB145" i="100" s="1"/>
  <c r="AA145" i="100" a="1"/>
  <c r="AA145" i="100" s="1"/>
  <c r="Z145" i="100" a="1"/>
  <c r="Z145" i="100" s="1"/>
  <c r="Y145" i="100" a="1"/>
  <c r="Y145" i="100" s="1"/>
  <c r="X145" i="100" a="1"/>
  <c r="X145" i="100" s="1"/>
  <c r="W145" i="100" a="1"/>
  <c r="W145" i="100" s="1"/>
  <c r="V145" i="100" a="1"/>
  <c r="V145" i="100" s="1"/>
  <c r="U145" i="100" a="1"/>
  <c r="U145" i="100" s="1"/>
  <c r="T145" i="100" a="1"/>
  <c r="T145" i="100" s="1"/>
  <c r="S145" i="100" a="1"/>
  <c r="S145" i="100" s="1"/>
  <c r="R145" i="100" a="1"/>
  <c r="R145" i="100" s="1"/>
  <c r="Q145" i="100" a="1"/>
  <c r="Q145" i="100" s="1"/>
  <c r="P145" i="100" a="1"/>
  <c r="P145" i="100" s="1"/>
  <c r="O145" i="100" a="1"/>
  <c r="O145" i="100" s="1"/>
  <c r="N145" i="100" a="1"/>
  <c r="N145" i="100" s="1"/>
  <c r="M145" i="100" a="1"/>
  <c r="M145" i="100" s="1"/>
  <c r="L145" i="100" a="1"/>
  <c r="L145" i="100" s="1"/>
  <c r="K145" i="100" a="1"/>
  <c r="K145" i="100" s="1"/>
  <c r="J145" i="100" a="1"/>
  <c r="J145" i="100" s="1"/>
  <c r="I145" i="100" a="1"/>
  <c r="I145" i="100" s="1"/>
  <c r="H145" i="100" a="1"/>
  <c r="H145" i="100" s="1"/>
  <c r="G145" i="100" a="1"/>
  <c r="G145" i="100" s="1"/>
  <c r="F145" i="100" a="1"/>
  <c r="F145" i="100" s="1"/>
  <c r="E145" i="100" a="1"/>
  <c r="E145" i="100" s="1"/>
  <c r="D145" i="100" a="1"/>
  <c r="D145" i="100" s="1"/>
  <c r="AH144" i="100" a="1"/>
  <c r="AH144" i="100" s="1"/>
  <c r="AG144" i="100" a="1"/>
  <c r="AG144" i="100" s="1"/>
  <c r="AF144" i="100" a="1"/>
  <c r="AF144" i="100" s="1"/>
  <c r="AE144" i="100" a="1"/>
  <c r="AE144" i="100" s="1"/>
  <c r="AD144" i="100" a="1"/>
  <c r="AD144" i="100" s="1"/>
  <c r="AC144" i="100" a="1"/>
  <c r="AC144" i="100" s="1"/>
  <c r="AB144" i="100" a="1"/>
  <c r="AB144" i="100" s="1"/>
  <c r="AA144" i="100" a="1"/>
  <c r="AA144" i="100" s="1"/>
  <c r="Z144" i="100" a="1"/>
  <c r="Z144" i="100" s="1"/>
  <c r="Y144" i="100" a="1"/>
  <c r="Y144" i="100" s="1"/>
  <c r="X144" i="100" a="1"/>
  <c r="X144" i="100" s="1"/>
  <c r="W144" i="100" a="1"/>
  <c r="W144" i="100" s="1"/>
  <c r="V144" i="100" a="1"/>
  <c r="V144" i="100" s="1"/>
  <c r="U144" i="100" a="1"/>
  <c r="U144" i="100" s="1"/>
  <c r="T144" i="100" a="1"/>
  <c r="T144" i="100" s="1"/>
  <c r="S144" i="100" a="1"/>
  <c r="S144" i="100" s="1"/>
  <c r="R144" i="100" a="1"/>
  <c r="R144" i="100" s="1"/>
  <c r="Q144" i="100" a="1"/>
  <c r="Q144" i="100" s="1"/>
  <c r="P144" i="100" a="1"/>
  <c r="P144" i="100" s="1"/>
  <c r="O144" i="100" a="1"/>
  <c r="O144" i="100" s="1"/>
  <c r="N144" i="100" a="1"/>
  <c r="N144" i="100" s="1"/>
  <c r="M144" i="100" a="1"/>
  <c r="M144" i="100" s="1"/>
  <c r="L144" i="100" a="1"/>
  <c r="L144" i="100" s="1"/>
  <c r="K144" i="100" a="1"/>
  <c r="K144" i="100" s="1"/>
  <c r="J144" i="100" a="1"/>
  <c r="J144" i="100" s="1"/>
  <c r="I144" i="100" a="1"/>
  <c r="I144" i="100" s="1"/>
  <c r="H144" i="100" a="1"/>
  <c r="H144" i="100" s="1"/>
  <c r="G144" i="100" a="1"/>
  <c r="G144" i="100" s="1"/>
  <c r="F144" i="100" a="1"/>
  <c r="F144" i="100" s="1"/>
  <c r="E144" i="100" a="1"/>
  <c r="E144" i="100" s="1"/>
  <c r="D144" i="100" a="1"/>
  <c r="D144" i="100" s="1"/>
  <c r="AH143" i="100" a="1"/>
  <c r="AH143" i="100" s="1"/>
  <c r="AG143" i="100" a="1"/>
  <c r="AG143" i="100" s="1"/>
  <c r="AF143" i="100" a="1"/>
  <c r="AF143" i="100" s="1"/>
  <c r="AE143" i="100" a="1"/>
  <c r="AE143" i="100" s="1"/>
  <c r="AD143" i="100" a="1"/>
  <c r="AD143" i="100" s="1"/>
  <c r="AC143" i="100" a="1"/>
  <c r="AC143" i="100" s="1"/>
  <c r="AB143" i="100" a="1"/>
  <c r="AB143" i="100" s="1"/>
  <c r="AA143" i="100" a="1"/>
  <c r="AA143" i="100" s="1"/>
  <c r="Z143" i="100" a="1"/>
  <c r="Z143" i="100" s="1"/>
  <c r="Y143" i="100" a="1"/>
  <c r="Y143" i="100" s="1"/>
  <c r="X143" i="100" a="1"/>
  <c r="X143" i="100" s="1"/>
  <c r="W143" i="100" a="1"/>
  <c r="W143" i="100" s="1"/>
  <c r="V143" i="100" a="1"/>
  <c r="V143" i="100" s="1"/>
  <c r="U143" i="100" a="1"/>
  <c r="U143" i="100" s="1"/>
  <c r="T143" i="100" a="1"/>
  <c r="T143" i="100" s="1"/>
  <c r="S143" i="100" a="1"/>
  <c r="S143" i="100" s="1"/>
  <c r="R143" i="100" a="1"/>
  <c r="R143" i="100" s="1"/>
  <c r="Q143" i="100" a="1"/>
  <c r="Q143" i="100" s="1"/>
  <c r="P143" i="100" a="1"/>
  <c r="P143" i="100" s="1"/>
  <c r="O143" i="100" a="1"/>
  <c r="O143" i="100" s="1"/>
  <c r="N143" i="100" a="1"/>
  <c r="N143" i="100" s="1"/>
  <c r="M143" i="100" a="1"/>
  <c r="M143" i="100" s="1"/>
  <c r="L143" i="100" a="1"/>
  <c r="L143" i="100" s="1"/>
  <c r="K143" i="100" a="1"/>
  <c r="K143" i="100" s="1"/>
  <c r="J143" i="100" a="1"/>
  <c r="J143" i="100" s="1"/>
  <c r="I143" i="100" a="1"/>
  <c r="I143" i="100" s="1"/>
  <c r="H143" i="100" a="1"/>
  <c r="H143" i="100" s="1"/>
  <c r="G143" i="100" a="1"/>
  <c r="G143" i="100" s="1"/>
  <c r="F143" i="100" a="1"/>
  <c r="F143" i="100" s="1"/>
  <c r="E143" i="100" a="1"/>
  <c r="E143" i="100" s="1"/>
  <c r="D143" i="100" a="1"/>
  <c r="D143" i="100" s="1"/>
  <c r="AH142" i="100" a="1"/>
  <c r="AH142" i="100" s="1"/>
  <c r="AG142" i="100" a="1"/>
  <c r="AG142" i="100" s="1"/>
  <c r="AF142" i="100" a="1"/>
  <c r="AF142" i="100" s="1"/>
  <c r="AE142" i="100" a="1"/>
  <c r="AE142" i="100" s="1"/>
  <c r="AD142" i="100" a="1"/>
  <c r="AD142" i="100" s="1"/>
  <c r="AC142" i="100" a="1"/>
  <c r="AC142" i="100" s="1"/>
  <c r="AB142" i="100" a="1"/>
  <c r="AB142" i="100" s="1"/>
  <c r="AA142" i="100" a="1"/>
  <c r="AA142" i="100" s="1"/>
  <c r="Z142" i="100" a="1"/>
  <c r="Z142" i="100" s="1"/>
  <c r="Y142" i="100" a="1"/>
  <c r="Y142" i="100" s="1"/>
  <c r="X142" i="100" a="1"/>
  <c r="X142" i="100" s="1"/>
  <c r="W142" i="100" a="1"/>
  <c r="W142" i="100" s="1"/>
  <c r="V142" i="100" a="1"/>
  <c r="V142" i="100" s="1"/>
  <c r="U142" i="100" a="1"/>
  <c r="U142" i="100" s="1"/>
  <c r="T142" i="100" a="1"/>
  <c r="T142" i="100" s="1"/>
  <c r="S142" i="100" a="1"/>
  <c r="S142" i="100" s="1"/>
  <c r="R142" i="100" a="1"/>
  <c r="R142" i="100" s="1"/>
  <c r="Q142" i="100" a="1"/>
  <c r="Q142" i="100" s="1"/>
  <c r="P142" i="100" a="1"/>
  <c r="P142" i="100" s="1"/>
  <c r="O142" i="100" a="1"/>
  <c r="O142" i="100" s="1"/>
  <c r="N142" i="100" a="1"/>
  <c r="N142" i="100" s="1"/>
  <c r="M142" i="100" a="1"/>
  <c r="M142" i="100" s="1"/>
  <c r="L142" i="100" a="1"/>
  <c r="L142" i="100" s="1"/>
  <c r="K142" i="100" a="1"/>
  <c r="K142" i="100" s="1"/>
  <c r="J142" i="100" a="1"/>
  <c r="J142" i="100" s="1"/>
  <c r="I142" i="100" a="1"/>
  <c r="I142" i="100" s="1"/>
  <c r="H142" i="100" a="1"/>
  <c r="H142" i="100" s="1"/>
  <c r="G142" i="100" a="1"/>
  <c r="G142" i="100" s="1"/>
  <c r="F142" i="100" a="1"/>
  <c r="F142" i="100" s="1"/>
  <c r="E142" i="100" a="1"/>
  <c r="E142" i="100" s="1"/>
  <c r="D142" i="100" a="1"/>
  <c r="D142" i="100" s="1"/>
  <c r="AH141" i="100" a="1"/>
  <c r="AH141" i="100" s="1"/>
  <c r="AG141" i="100" a="1"/>
  <c r="AG141" i="100" s="1"/>
  <c r="AF141" i="100" a="1"/>
  <c r="AF141" i="100" s="1"/>
  <c r="AE141" i="100" a="1"/>
  <c r="AE141" i="100" s="1"/>
  <c r="AD141" i="100" a="1"/>
  <c r="AD141" i="100" s="1"/>
  <c r="AC141" i="100" a="1"/>
  <c r="AC141" i="100" s="1"/>
  <c r="AB141" i="100" a="1"/>
  <c r="AB141" i="100" s="1"/>
  <c r="AA141" i="100" a="1"/>
  <c r="AA141" i="100" s="1"/>
  <c r="Z141" i="100" a="1"/>
  <c r="Z141" i="100" s="1"/>
  <c r="Y141" i="100" a="1"/>
  <c r="Y141" i="100" s="1"/>
  <c r="X141" i="100" a="1"/>
  <c r="X141" i="100" s="1"/>
  <c r="W141" i="100" a="1"/>
  <c r="W141" i="100" s="1"/>
  <c r="V141" i="100" a="1"/>
  <c r="V141" i="100" s="1"/>
  <c r="U141" i="100" a="1"/>
  <c r="U141" i="100" s="1"/>
  <c r="T141" i="100" a="1"/>
  <c r="T141" i="100" s="1"/>
  <c r="S141" i="100" a="1"/>
  <c r="S141" i="100" s="1"/>
  <c r="R141" i="100" a="1"/>
  <c r="R141" i="100" s="1"/>
  <c r="Q141" i="100" a="1"/>
  <c r="Q141" i="100" s="1"/>
  <c r="P141" i="100" a="1"/>
  <c r="P141" i="100" s="1"/>
  <c r="O141" i="100" a="1"/>
  <c r="O141" i="100" s="1"/>
  <c r="N141" i="100" a="1"/>
  <c r="N141" i="100" s="1"/>
  <c r="M141" i="100" a="1"/>
  <c r="M141" i="100" s="1"/>
  <c r="L141" i="100" a="1"/>
  <c r="L141" i="100" s="1"/>
  <c r="K141" i="100" a="1"/>
  <c r="K141" i="100" s="1"/>
  <c r="J141" i="100" a="1"/>
  <c r="J141" i="100" s="1"/>
  <c r="I141" i="100" a="1"/>
  <c r="I141" i="100" s="1"/>
  <c r="H141" i="100" a="1"/>
  <c r="H141" i="100" s="1"/>
  <c r="G141" i="100" a="1"/>
  <c r="G141" i="100" s="1"/>
  <c r="F141" i="100" a="1"/>
  <c r="F141" i="100" s="1"/>
  <c r="E141" i="100" a="1"/>
  <c r="E141" i="100" s="1"/>
  <c r="D141" i="100" a="1"/>
  <c r="D141" i="100" s="1"/>
  <c r="AH140" i="100" a="1"/>
  <c r="AH140" i="100" s="1"/>
  <c r="AG140" i="100" a="1"/>
  <c r="AG140" i="100" s="1"/>
  <c r="AF140" i="100" a="1"/>
  <c r="AF140" i="100" s="1"/>
  <c r="AE140" i="100" a="1"/>
  <c r="AE140" i="100" s="1"/>
  <c r="AD140" i="100" a="1"/>
  <c r="AD140" i="100" s="1"/>
  <c r="AC140" i="100" a="1"/>
  <c r="AC140" i="100" s="1"/>
  <c r="AB140" i="100" a="1"/>
  <c r="AB140" i="100" s="1"/>
  <c r="AA140" i="100" a="1"/>
  <c r="AA140" i="100" s="1"/>
  <c r="Z140" i="100" a="1"/>
  <c r="Z140" i="100" s="1"/>
  <c r="Y140" i="100" a="1"/>
  <c r="Y140" i="100" s="1"/>
  <c r="X140" i="100" a="1"/>
  <c r="X140" i="100" s="1"/>
  <c r="W140" i="100" a="1"/>
  <c r="W140" i="100" s="1"/>
  <c r="V140" i="100" a="1"/>
  <c r="V140" i="100" s="1"/>
  <c r="U140" i="100" a="1"/>
  <c r="U140" i="100" s="1"/>
  <c r="T140" i="100" a="1"/>
  <c r="T140" i="100" s="1"/>
  <c r="S140" i="100" a="1"/>
  <c r="S140" i="100" s="1"/>
  <c r="R140" i="100" a="1"/>
  <c r="R140" i="100" s="1"/>
  <c r="Q140" i="100" a="1"/>
  <c r="Q140" i="100" s="1"/>
  <c r="P140" i="100" a="1"/>
  <c r="P140" i="100" s="1"/>
  <c r="O140" i="100" a="1"/>
  <c r="O140" i="100" s="1"/>
  <c r="N140" i="100" a="1"/>
  <c r="N140" i="100" s="1"/>
  <c r="M140" i="100" a="1"/>
  <c r="M140" i="100" s="1"/>
  <c r="L140" i="100" a="1"/>
  <c r="L140" i="100" s="1"/>
  <c r="K140" i="100" a="1"/>
  <c r="K140" i="100" s="1"/>
  <c r="J140" i="100" a="1"/>
  <c r="J140" i="100" s="1"/>
  <c r="I140" i="100" a="1"/>
  <c r="I140" i="100" s="1"/>
  <c r="H140" i="100" a="1"/>
  <c r="H140" i="100" s="1"/>
  <c r="G140" i="100" a="1"/>
  <c r="G140" i="100" s="1"/>
  <c r="F140" i="100" a="1"/>
  <c r="F140" i="100" s="1"/>
  <c r="E140" i="100" a="1"/>
  <c r="E140" i="100" s="1"/>
  <c r="D140" i="100" a="1"/>
  <c r="D140" i="100" s="1"/>
  <c r="AH139" i="100" a="1"/>
  <c r="AH139" i="100" s="1"/>
  <c r="AG139" i="100" a="1"/>
  <c r="AG139" i="100" s="1"/>
  <c r="AF139" i="100" a="1"/>
  <c r="AF139" i="100" s="1"/>
  <c r="AE139" i="100" a="1"/>
  <c r="AE139" i="100" s="1"/>
  <c r="AD139" i="100" a="1"/>
  <c r="AD139" i="100" s="1"/>
  <c r="AC139" i="100" a="1"/>
  <c r="AC139" i="100" s="1"/>
  <c r="AB139" i="100" a="1"/>
  <c r="AB139" i="100" s="1"/>
  <c r="AA139" i="100" a="1"/>
  <c r="AA139" i="100" s="1"/>
  <c r="Z139" i="100" a="1"/>
  <c r="Z139" i="100" s="1"/>
  <c r="Y139" i="100" a="1"/>
  <c r="Y139" i="100" s="1"/>
  <c r="X139" i="100" a="1"/>
  <c r="X139" i="100" s="1"/>
  <c r="W139" i="100" a="1"/>
  <c r="W139" i="100" s="1"/>
  <c r="V139" i="100" a="1"/>
  <c r="V139" i="100" s="1"/>
  <c r="U139" i="100" a="1"/>
  <c r="U139" i="100" s="1"/>
  <c r="T139" i="100" a="1"/>
  <c r="T139" i="100" s="1"/>
  <c r="S139" i="100" a="1"/>
  <c r="S139" i="100" s="1"/>
  <c r="R139" i="100" a="1"/>
  <c r="R139" i="100" s="1"/>
  <c r="Q139" i="100" a="1"/>
  <c r="Q139" i="100" s="1"/>
  <c r="P139" i="100" a="1"/>
  <c r="P139" i="100" s="1"/>
  <c r="O139" i="100" a="1"/>
  <c r="O139" i="100" s="1"/>
  <c r="N139" i="100" a="1"/>
  <c r="N139" i="100" s="1"/>
  <c r="M139" i="100" a="1"/>
  <c r="M139" i="100" s="1"/>
  <c r="L139" i="100" a="1"/>
  <c r="L139" i="100" s="1"/>
  <c r="K139" i="100" a="1"/>
  <c r="K139" i="100" s="1"/>
  <c r="J139" i="100" a="1"/>
  <c r="J139" i="100" s="1"/>
  <c r="I139" i="100" a="1"/>
  <c r="I139" i="100" s="1"/>
  <c r="H139" i="100" a="1"/>
  <c r="H139" i="100" s="1"/>
  <c r="G139" i="100" a="1"/>
  <c r="G139" i="100" s="1"/>
  <c r="F139" i="100" a="1"/>
  <c r="F139" i="100" s="1"/>
  <c r="E139" i="100" a="1"/>
  <c r="E139" i="100" s="1"/>
  <c r="D139" i="100" a="1"/>
  <c r="D139" i="100" s="1"/>
  <c r="AH138" i="100" a="1"/>
  <c r="AH138" i="100" s="1"/>
  <c r="AG138" i="100" a="1"/>
  <c r="AG138" i="100" s="1"/>
  <c r="AF138" i="100" a="1"/>
  <c r="AF138" i="100" s="1"/>
  <c r="AE138" i="100" a="1"/>
  <c r="AE138" i="100" s="1"/>
  <c r="AD138" i="100" a="1"/>
  <c r="AD138" i="100" s="1"/>
  <c r="AC138" i="100" a="1"/>
  <c r="AC138" i="100" s="1"/>
  <c r="AB138" i="100" a="1"/>
  <c r="AB138" i="100" s="1"/>
  <c r="AA138" i="100" a="1"/>
  <c r="AA138" i="100" s="1"/>
  <c r="Z138" i="100" a="1"/>
  <c r="Z138" i="100" s="1"/>
  <c r="Y138" i="100" a="1"/>
  <c r="Y138" i="100" s="1"/>
  <c r="X138" i="100" a="1"/>
  <c r="X138" i="100" s="1"/>
  <c r="W138" i="100" a="1"/>
  <c r="W138" i="100" s="1"/>
  <c r="V138" i="100" a="1"/>
  <c r="V138" i="100" s="1"/>
  <c r="U138" i="100" a="1"/>
  <c r="U138" i="100" s="1"/>
  <c r="T138" i="100" a="1"/>
  <c r="T138" i="100" s="1"/>
  <c r="S138" i="100" a="1"/>
  <c r="S138" i="100" s="1"/>
  <c r="R138" i="100" a="1"/>
  <c r="R138" i="100" s="1"/>
  <c r="Q138" i="100" a="1"/>
  <c r="Q138" i="100" s="1"/>
  <c r="P138" i="100" a="1"/>
  <c r="P138" i="100" s="1"/>
  <c r="O138" i="100" a="1"/>
  <c r="O138" i="100" s="1"/>
  <c r="N138" i="100" a="1"/>
  <c r="N138" i="100" s="1"/>
  <c r="M138" i="100" a="1"/>
  <c r="M138" i="100" s="1"/>
  <c r="L138" i="100" a="1"/>
  <c r="L138" i="100" s="1"/>
  <c r="K138" i="100" a="1"/>
  <c r="K138" i="100" s="1"/>
  <c r="J138" i="100" a="1"/>
  <c r="J138" i="100" s="1"/>
  <c r="I138" i="100" a="1"/>
  <c r="I138" i="100" s="1"/>
  <c r="H138" i="100" a="1"/>
  <c r="H138" i="100" s="1"/>
  <c r="G138" i="100" a="1"/>
  <c r="G138" i="100" s="1"/>
  <c r="F138" i="100" a="1"/>
  <c r="F138" i="100" s="1"/>
  <c r="E138" i="100" a="1"/>
  <c r="E138" i="100" s="1"/>
  <c r="D138" i="100" a="1"/>
  <c r="D138" i="100" s="1"/>
  <c r="AH137" i="100" a="1"/>
  <c r="AH137" i="100" s="1"/>
  <c r="AG137" i="100" a="1"/>
  <c r="AG137" i="100" s="1"/>
  <c r="AF137" i="100" a="1"/>
  <c r="AF137" i="100" s="1"/>
  <c r="AE137" i="100" a="1"/>
  <c r="AE137" i="100" s="1"/>
  <c r="AD137" i="100" a="1"/>
  <c r="AD137" i="100" s="1"/>
  <c r="AC137" i="100" a="1"/>
  <c r="AC137" i="100" s="1"/>
  <c r="AB137" i="100" a="1"/>
  <c r="AB137" i="100" s="1"/>
  <c r="AA137" i="100" a="1"/>
  <c r="AA137" i="100" s="1"/>
  <c r="Z137" i="100" a="1"/>
  <c r="Z137" i="100" s="1"/>
  <c r="Y137" i="100" a="1"/>
  <c r="Y137" i="100" s="1"/>
  <c r="X137" i="100" a="1"/>
  <c r="X137" i="100" s="1"/>
  <c r="W137" i="100" a="1"/>
  <c r="W137" i="100" s="1"/>
  <c r="V137" i="100" a="1"/>
  <c r="V137" i="100" s="1"/>
  <c r="U137" i="100" a="1"/>
  <c r="U137" i="100" s="1"/>
  <c r="T137" i="100" a="1"/>
  <c r="T137" i="100" s="1"/>
  <c r="S137" i="100" a="1"/>
  <c r="S137" i="100" s="1"/>
  <c r="R137" i="100" a="1"/>
  <c r="R137" i="100" s="1"/>
  <c r="Q137" i="100" a="1"/>
  <c r="Q137" i="100" s="1"/>
  <c r="P137" i="100" a="1"/>
  <c r="P137" i="100" s="1"/>
  <c r="O137" i="100" a="1"/>
  <c r="O137" i="100" s="1"/>
  <c r="N137" i="100" a="1"/>
  <c r="N137" i="100" s="1"/>
  <c r="M137" i="100" a="1"/>
  <c r="M137" i="100" s="1"/>
  <c r="L137" i="100" a="1"/>
  <c r="L137" i="100" s="1"/>
  <c r="K137" i="100" a="1"/>
  <c r="K137" i="100" s="1"/>
  <c r="J137" i="100" a="1"/>
  <c r="J137" i="100" s="1"/>
  <c r="I137" i="100" a="1"/>
  <c r="I137" i="100" s="1"/>
  <c r="H137" i="100" a="1"/>
  <c r="H137" i="100" s="1"/>
  <c r="G137" i="100" a="1"/>
  <c r="G137" i="100" s="1"/>
  <c r="F137" i="100" a="1"/>
  <c r="F137" i="100" s="1"/>
  <c r="E137" i="100" a="1"/>
  <c r="E137" i="100" s="1"/>
  <c r="D137" i="100" a="1"/>
  <c r="D137" i="100" s="1"/>
  <c r="AH136" i="100" a="1"/>
  <c r="AH136" i="100" s="1"/>
  <c r="AG136" i="100" a="1"/>
  <c r="AG136" i="100" s="1"/>
  <c r="AF136" i="100" a="1"/>
  <c r="AF136" i="100" s="1"/>
  <c r="AE136" i="100" a="1"/>
  <c r="AE136" i="100" s="1"/>
  <c r="AD136" i="100" a="1"/>
  <c r="AD136" i="100" s="1"/>
  <c r="AC136" i="100" a="1"/>
  <c r="AC136" i="100" s="1"/>
  <c r="AB136" i="100" a="1"/>
  <c r="AB136" i="100" s="1"/>
  <c r="AA136" i="100" a="1"/>
  <c r="AA136" i="100" s="1"/>
  <c r="Z136" i="100" a="1"/>
  <c r="Z136" i="100" s="1"/>
  <c r="Y136" i="100" a="1"/>
  <c r="Y136" i="100" s="1"/>
  <c r="X136" i="100" a="1"/>
  <c r="X136" i="100" s="1"/>
  <c r="W136" i="100" a="1"/>
  <c r="W136" i="100" s="1"/>
  <c r="V136" i="100" a="1"/>
  <c r="V136" i="100" s="1"/>
  <c r="U136" i="100" a="1"/>
  <c r="U136" i="100" s="1"/>
  <c r="T136" i="100" a="1"/>
  <c r="T136" i="100" s="1"/>
  <c r="S136" i="100" a="1"/>
  <c r="S136" i="100" s="1"/>
  <c r="R136" i="100" a="1"/>
  <c r="R136" i="100" s="1"/>
  <c r="Q136" i="100" a="1"/>
  <c r="Q136" i="100" s="1"/>
  <c r="P136" i="100" a="1"/>
  <c r="P136" i="100" s="1"/>
  <c r="O136" i="100" a="1"/>
  <c r="O136" i="100" s="1"/>
  <c r="N136" i="100" a="1"/>
  <c r="N136" i="100" s="1"/>
  <c r="M136" i="100" a="1"/>
  <c r="M136" i="100" s="1"/>
  <c r="L136" i="100" a="1"/>
  <c r="L136" i="100" s="1"/>
  <c r="K136" i="100" a="1"/>
  <c r="K136" i="100" s="1"/>
  <c r="J136" i="100" a="1"/>
  <c r="J136" i="100" s="1"/>
  <c r="I136" i="100" a="1"/>
  <c r="I136" i="100" s="1"/>
  <c r="H136" i="100" a="1"/>
  <c r="H136" i="100" s="1"/>
  <c r="G136" i="100" a="1"/>
  <c r="G136" i="100" s="1"/>
  <c r="F136" i="100" a="1"/>
  <c r="F136" i="100" s="1"/>
  <c r="E136" i="100" a="1"/>
  <c r="E136" i="100" s="1"/>
  <c r="D136" i="100" a="1"/>
  <c r="D136" i="100" s="1"/>
  <c r="AH135" i="100" a="1"/>
  <c r="AH135" i="100" s="1"/>
  <c r="AG135" i="100" a="1"/>
  <c r="AG135" i="100" s="1"/>
  <c r="AF135" i="100" a="1"/>
  <c r="AF135" i="100" s="1"/>
  <c r="AE135" i="100" a="1"/>
  <c r="AE135" i="100" s="1"/>
  <c r="AD135" i="100" a="1"/>
  <c r="AD135" i="100" s="1"/>
  <c r="AC135" i="100" a="1"/>
  <c r="AC135" i="100" s="1"/>
  <c r="AB135" i="100" a="1"/>
  <c r="AB135" i="100" s="1"/>
  <c r="AA135" i="100" a="1"/>
  <c r="AA135" i="100" s="1"/>
  <c r="Z135" i="100" a="1"/>
  <c r="Z135" i="100" s="1"/>
  <c r="Y135" i="100" a="1"/>
  <c r="Y135" i="100" s="1"/>
  <c r="X135" i="100" a="1"/>
  <c r="X135" i="100" s="1"/>
  <c r="W135" i="100" a="1"/>
  <c r="W135" i="100" s="1"/>
  <c r="V135" i="100" a="1"/>
  <c r="V135" i="100" s="1"/>
  <c r="U135" i="100" a="1"/>
  <c r="U135" i="100" s="1"/>
  <c r="T135" i="100" a="1"/>
  <c r="T135" i="100" s="1"/>
  <c r="S135" i="100" a="1"/>
  <c r="S135" i="100" s="1"/>
  <c r="R135" i="100" a="1"/>
  <c r="R135" i="100" s="1"/>
  <c r="Q135" i="100" a="1"/>
  <c r="Q135" i="100" s="1"/>
  <c r="P135" i="100" a="1"/>
  <c r="P135" i="100" s="1"/>
  <c r="O135" i="100" a="1"/>
  <c r="O135" i="100" s="1"/>
  <c r="N135" i="100" a="1"/>
  <c r="N135" i="100" s="1"/>
  <c r="M135" i="100" a="1"/>
  <c r="M135" i="100" s="1"/>
  <c r="L135" i="100" a="1"/>
  <c r="L135" i="100" s="1"/>
  <c r="K135" i="100" a="1"/>
  <c r="K135" i="100" s="1"/>
  <c r="J135" i="100" a="1"/>
  <c r="J135" i="100" s="1"/>
  <c r="I135" i="100" a="1"/>
  <c r="I135" i="100" s="1"/>
  <c r="H135" i="100" a="1"/>
  <c r="H135" i="100" s="1"/>
  <c r="G135" i="100" a="1"/>
  <c r="G135" i="100" s="1"/>
  <c r="F135" i="100" a="1"/>
  <c r="F135" i="100" s="1"/>
  <c r="E135" i="100" a="1"/>
  <c r="E135" i="100" s="1"/>
  <c r="D135" i="100" a="1"/>
  <c r="D135" i="100" s="1"/>
  <c r="AH134" i="100" a="1"/>
  <c r="AH134" i="100" s="1"/>
  <c r="AG134" i="100" a="1"/>
  <c r="AG134" i="100" s="1"/>
  <c r="AF134" i="100" a="1"/>
  <c r="AF134" i="100" s="1"/>
  <c r="AE134" i="100" a="1"/>
  <c r="AE134" i="100" s="1"/>
  <c r="AD134" i="100" a="1"/>
  <c r="AD134" i="100" s="1"/>
  <c r="AC134" i="100" a="1"/>
  <c r="AC134" i="100" s="1"/>
  <c r="AB134" i="100" a="1"/>
  <c r="AB134" i="100" s="1"/>
  <c r="AA134" i="100" a="1"/>
  <c r="AA134" i="100" s="1"/>
  <c r="Z134" i="100" a="1"/>
  <c r="Z134" i="100" s="1"/>
  <c r="Y134" i="100" a="1"/>
  <c r="Y134" i="100" s="1"/>
  <c r="X134" i="100" a="1"/>
  <c r="X134" i="100" s="1"/>
  <c r="W134" i="100" a="1"/>
  <c r="W134" i="100" s="1"/>
  <c r="V134" i="100" a="1"/>
  <c r="V134" i="100" s="1"/>
  <c r="U134" i="100" a="1"/>
  <c r="U134" i="100" s="1"/>
  <c r="T134" i="100" a="1"/>
  <c r="T134" i="100" s="1"/>
  <c r="S134" i="100" a="1"/>
  <c r="S134" i="100" s="1"/>
  <c r="R134" i="100" a="1"/>
  <c r="R134" i="100" s="1"/>
  <c r="Q134" i="100" a="1"/>
  <c r="Q134" i="100" s="1"/>
  <c r="P134" i="100" a="1"/>
  <c r="P134" i="100" s="1"/>
  <c r="O134" i="100" a="1"/>
  <c r="O134" i="100" s="1"/>
  <c r="N134" i="100" a="1"/>
  <c r="N134" i="100" s="1"/>
  <c r="M134" i="100" a="1"/>
  <c r="M134" i="100" s="1"/>
  <c r="L134" i="100" a="1"/>
  <c r="L134" i="100" s="1"/>
  <c r="K134" i="100" a="1"/>
  <c r="K134" i="100" s="1"/>
  <c r="J134" i="100" a="1"/>
  <c r="J134" i="100" s="1"/>
  <c r="I134" i="100" a="1"/>
  <c r="I134" i="100" s="1"/>
  <c r="H134" i="100" a="1"/>
  <c r="H134" i="100" s="1"/>
  <c r="G134" i="100" a="1"/>
  <c r="G134" i="100" s="1"/>
  <c r="F134" i="100" a="1"/>
  <c r="F134" i="100" s="1"/>
  <c r="E134" i="100" a="1"/>
  <c r="E134" i="100" s="1"/>
  <c r="D134" i="100" a="1"/>
  <c r="D134" i="100" s="1"/>
  <c r="AH133" i="100" a="1"/>
  <c r="AH133" i="100" s="1"/>
  <c r="AG133" i="100" a="1"/>
  <c r="AG133" i="100" s="1"/>
  <c r="AF133" i="100" a="1"/>
  <c r="AF133" i="100" s="1"/>
  <c r="AE133" i="100" a="1"/>
  <c r="AE133" i="100" s="1"/>
  <c r="AD133" i="100" a="1"/>
  <c r="AD133" i="100" s="1"/>
  <c r="AC133" i="100" a="1"/>
  <c r="AC133" i="100" s="1"/>
  <c r="AB133" i="100" a="1"/>
  <c r="AB133" i="100" s="1"/>
  <c r="AA133" i="100" a="1"/>
  <c r="AA133" i="100" s="1"/>
  <c r="Z133" i="100" a="1"/>
  <c r="Z133" i="100" s="1"/>
  <c r="Y133" i="100" a="1"/>
  <c r="Y133" i="100" s="1"/>
  <c r="X133" i="100" a="1"/>
  <c r="X133" i="100" s="1"/>
  <c r="W133" i="100" a="1"/>
  <c r="W133" i="100" s="1"/>
  <c r="V133" i="100" a="1"/>
  <c r="V133" i="100" s="1"/>
  <c r="U133" i="100" a="1"/>
  <c r="U133" i="100" s="1"/>
  <c r="T133" i="100" a="1"/>
  <c r="T133" i="100" s="1"/>
  <c r="S133" i="100" a="1"/>
  <c r="S133" i="100" s="1"/>
  <c r="R133" i="100" a="1"/>
  <c r="R133" i="100" s="1"/>
  <c r="Q133" i="100" a="1"/>
  <c r="Q133" i="100" s="1"/>
  <c r="P133" i="100" a="1"/>
  <c r="P133" i="100" s="1"/>
  <c r="O133" i="100" a="1"/>
  <c r="O133" i="100" s="1"/>
  <c r="N133" i="100" a="1"/>
  <c r="N133" i="100" s="1"/>
  <c r="M133" i="100" a="1"/>
  <c r="M133" i="100" s="1"/>
  <c r="L133" i="100" a="1"/>
  <c r="L133" i="100" s="1"/>
  <c r="K133" i="100" a="1"/>
  <c r="K133" i="100" s="1"/>
  <c r="J133" i="100" a="1"/>
  <c r="J133" i="100" s="1"/>
  <c r="I133" i="100" a="1"/>
  <c r="I133" i="100" s="1"/>
  <c r="H133" i="100" a="1"/>
  <c r="H133" i="100" s="1"/>
  <c r="G133" i="100" a="1"/>
  <c r="G133" i="100" s="1"/>
  <c r="F133" i="100" a="1"/>
  <c r="F133" i="100" s="1"/>
  <c r="E133" i="100" a="1"/>
  <c r="E133" i="100" s="1"/>
  <c r="D133" i="100" a="1"/>
  <c r="D133" i="100" s="1"/>
  <c r="AH132" i="100" a="1"/>
  <c r="AH132" i="100" s="1"/>
  <c r="AG132" i="100" a="1"/>
  <c r="AG132" i="100" s="1"/>
  <c r="AF132" i="100" a="1"/>
  <c r="AF132" i="100" s="1"/>
  <c r="AE132" i="100" a="1"/>
  <c r="AE132" i="100" s="1"/>
  <c r="AD132" i="100" a="1"/>
  <c r="AD132" i="100" s="1"/>
  <c r="AC132" i="100" a="1"/>
  <c r="AC132" i="100" s="1"/>
  <c r="AB132" i="100" a="1"/>
  <c r="AB132" i="100" s="1"/>
  <c r="AA132" i="100" a="1"/>
  <c r="AA132" i="100" s="1"/>
  <c r="Z132" i="100" a="1"/>
  <c r="Z132" i="100" s="1"/>
  <c r="Y132" i="100" a="1"/>
  <c r="Y132" i="100" s="1"/>
  <c r="X132" i="100" a="1"/>
  <c r="X132" i="100" s="1"/>
  <c r="W132" i="100" a="1"/>
  <c r="W132" i="100" s="1"/>
  <c r="V132" i="100" a="1"/>
  <c r="V132" i="100" s="1"/>
  <c r="U132" i="100" a="1"/>
  <c r="U132" i="100" s="1"/>
  <c r="T132" i="100" a="1"/>
  <c r="T132" i="100" s="1"/>
  <c r="S132" i="100" a="1"/>
  <c r="S132" i="100" s="1"/>
  <c r="R132" i="100" a="1"/>
  <c r="R132" i="100" s="1"/>
  <c r="Q132" i="100" a="1"/>
  <c r="Q132" i="100" s="1"/>
  <c r="P132" i="100" a="1"/>
  <c r="P132" i="100" s="1"/>
  <c r="O132" i="100" a="1"/>
  <c r="O132" i="100" s="1"/>
  <c r="N132" i="100" a="1"/>
  <c r="N132" i="100" s="1"/>
  <c r="M132" i="100" a="1"/>
  <c r="M132" i="100" s="1"/>
  <c r="L132" i="100" a="1"/>
  <c r="L132" i="100" s="1"/>
  <c r="K132" i="100" a="1"/>
  <c r="K132" i="100" s="1"/>
  <c r="J132" i="100" a="1"/>
  <c r="J132" i="100" s="1"/>
  <c r="I132" i="100" a="1"/>
  <c r="I132" i="100" s="1"/>
  <c r="H132" i="100" a="1"/>
  <c r="H132" i="100" s="1"/>
  <c r="G132" i="100" a="1"/>
  <c r="G132" i="100" s="1"/>
  <c r="F132" i="100" a="1"/>
  <c r="F132" i="100" s="1"/>
  <c r="E132" i="100" a="1"/>
  <c r="E132" i="100" s="1"/>
  <c r="D132" i="100" a="1"/>
  <c r="D132" i="100" s="1"/>
  <c r="AH131" i="100" a="1"/>
  <c r="AH131" i="100" s="1"/>
  <c r="AG131" i="100" a="1"/>
  <c r="AG131" i="100" s="1"/>
  <c r="AF131" i="100" a="1"/>
  <c r="AF131" i="100" s="1"/>
  <c r="AE131" i="100" a="1"/>
  <c r="AE131" i="100" s="1"/>
  <c r="AD131" i="100" a="1"/>
  <c r="AD131" i="100" s="1"/>
  <c r="AC131" i="100" a="1"/>
  <c r="AC131" i="100" s="1"/>
  <c r="AB131" i="100" a="1"/>
  <c r="AB131" i="100" s="1"/>
  <c r="AA131" i="100" a="1"/>
  <c r="AA131" i="100" s="1"/>
  <c r="Z131" i="100" a="1"/>
  <c r="Z131" i="100" s="1"/>
  <c r="Y131" i="100" a="1"/>
  <c r="Y131" i="100" s="1"/>
  <c r="X131" i="100" a="1"/>
  <c r="X131" i="100" s="1"/>
  <c r="W131" i="100" a="1"/>
  <c r="W131" i="100" s="1"/>
  <c r="V131" i="100" a="1"/>
  <c r="V131" i="100" s="1"/>
  <c r="U131" i="100" a="1"/>
  <c r="U131" i="100" s="1"/>
  <c r="T131" i="100" a="1"/>
  <c r="T131" i="100" s="1"/>
  <c r="S131" i="100" a="1"/>
  <c r="S131" i="100" s="1"/>
  <c r="R131" i="100" a="1"/>
  <c r="R131" i="100" s="1"/>
  <c r="Q131" i="100" a="1"/>
  <c r="Q131" i="100" s="1"/>
  <c r="P131" i="100" a="1"/>
  <c r="P131" i="100" s="1"/>
  <c r="O131" i="100" a="1"/>
  <c r="O131" i="100" s="1"/>
  <c r="N131" i="100" a="1"/>
  <c r="N131" i="100" s="1"/>
  <c r="M131" i="100" a="1"/>
  <c r="M131" i="100" s="1"/>
  <c r="L131" i="100" a="1"/>
  <c r="L131" i="100" s="1"/>
  <c r="K131" i="100" a="1"/>
  <c r="K131" i="100" s="1"/>
  <c r="J131" i="100" a="1"/>
  <c r="J131" i="100" s="1"/>
  <c r="I131" i="100" a="1"/>
  <c r="I131" i="100" s="1"/>
  <c r="H131" i="100" a="1"/>
  <c r="H131" i="100" s="1"/>
  <c r="G131" i="100" a="1"/>
  <c r="G131" i="100" s="1"/>
  <c r="F131" i="100" a="1"/>
  <c r="F131" i="100" s="1"/>
  <c r="E131" i="100" a="1"/>
  <c r="E131" i="100" s="1"/>
  <c r="D131" i="100" a="1"/>
  <c r="D131" i="100" s="1"/>
  <c r="AH130" i="100" a="1"/>
  <c r="AH130" i="100" s="1"/>
  <c r="AG130" i="100" a="1"/>
  <c r="AG130" i="100" s="1"/>
  <c r="AF130" i="100" a="1"/>
  <c r="AF130" i="100" s="1"/>
  <c r="AE130" i="100" a="1"/>
  <c r="AE130" i="100" s="1"/>
  <c r="AD130" i="100" a="1"/>
  <c r="AD130" i="100" s="1"/>
  <c r="AC130" i="100" a="1"/>
  <c r="AC130" i="100" s="1"/>
  <c r="AB130" i="100" a="1"/>
  <c r="AB130" i="100" s="1"/>
  <c r="AA130" i="100" a="1"/>
  <c r="AA130" i="100" s="1"/>
  <c r="Z130" i="100" a="1"/>
  <c r="Z130" i="100" s="1"/>
  <c r="Y130" i="100" a="1"/>
  <c r="Y130" i="100" s="1"/>
  <c r="X130" i="100" a="1"/>
  <c r="X130" i="100" s="1"/>
  <c r="W130" i="100" a="1"/>
  <c r="W130" i="100" s="1"/>
  <c r="V130" i="100" a="1"/>
  <c r="V130" i="100" s="1"/>
  <c r="U130" i="100" a="1"/>
  <c r="U130" i="100" s="1"/>
  <c r="T130" i="100" a="1"/>
  <c r="T130" i="100" s="1"/>
  <c r="S130" i="100" a="1"/>
  <c r="S130" i="100" s="1"/>
  <c r="R130" i="100" a="1"/>
  <c r="R130" i="100" s="1"/>
  <c r="Q130" i="100" a="1"/>
  <c r="Q130" i="100" s="1"/>
  <c r="P130" i="100" a="1"/>
  <c r="P130" i="100" s="1"/>
  <c r="O130" i="100" a="1"/>
  <c r="O130" i="100" s="1"/>
  <c r="N130" i="100" a="1"/>
  <c r="N130" i="100" s="1"/>
  <c r="M130" i="100" a="1"/>
  <c r="M130" i="100" s="1"/>
  <c r="L130" i="100" a="1"/>
  <c r="L130" i="100" s="1"/>
  <c r="K130" i="100" a="1"/>
  <c r="K130" i="100" s="1"/>
  <c r="J130" i="100" a="1"/>
  <c r="J130" i="100" s="1"/>
  <c r="I130" i="100" a="1"/>
  <c r="I130" i="100" s="1"/>
  <c r="H130" i="100" a="1"/>
  <c r="H130" i="100" s="1"/>
  <c r="G130" i="100" a="1"/>
  <c r="G130" i="100" s="1"/>
  <c r="F130" i="100" a="1"/>
  <c r="F130" i="100" s="1"/>
  <c r="E130" i="100" a="1"/>
  <c r="E130" i="100" s="1"/>
  <c r="D130" i="100" a="1"/>
  <c r="D130" i="100" s="1"/>
  <c r="AH129" i="100" a="1"/>
  <c r="AH129" i="100" s="1"/>
  <c r="AG129" i="100" a="1"/>
  <c r="AG129" i="100" s="1"/>
  <c r="AF129" i="100" a="1"/>
  <c r="AF129" i="100" s="1"/>
  <c r="AE129" i="100" a="1"/>
  <c r="AE129" i="100" s="1"/>
  <c r="AD129" i="100" a="1"/>
  <c r="AD129" i="100" s="1"/>
  <c r="AC129" i="100" a="1"/>
  <c r="AC129" i="100" s="1"/>
  <c r="AB129" i="100" a="1"/>
  <c r="AB129" i="100" s="1"/>
  <c r="AA129" i="100" a="1"/>
  <c r="AA129" i="100" s="1"/>
  <c r="Z129" i="100" a="1"/>
  <c r="Z129" i="100" s="1"/>
  <c r="Y129" i="100" a="1"/>
  <c r="Y129" i="100" s="1"/>
  <c r="X129" i="100" a="1"/>
  <c r="X129" i="100" s="1"/>
  <c r="W129" i="100" a="1"/>
  <c r="W129" i="100" s="1"/>
  <c r="V129" i="100" a="1"/>
  <c r="V129" i="100" s="1"/>
  <c r="U129" i="100" a="1"/>
  <c r="U129" i="100" s="1"/>
  <c r="T129" i="100" a="1"/>
  <c r="T129" i="100" s="1"/>
  <c r="S129" i="100" a="1"/>
  <c r="S129" i="100" s="1"/>
  <c r="R129" i="100" a="1"/>
  <c r="R129" i="100" s="1"/>
  <c r="Q129" i="100" a="1"/>
  <c r="Q129" i="100" s="1"/>
  <c r="P129" i="100" a="1"/>
  <c r="P129" i="100" s="1"/>
  <c r="O129" i="100" a="1"/>
  <c r="O129" i="100" s="1"/>
  <c r="N129" i="100" a="1"/>
  <c r="N129" i="100" s="1"/>
  <c r="M129" i="100" a="1"/>
  <c r="M129" i="100" s="1"/>
  <c r="L129" i="100" a="1"/>
  <c r="L129" i="100" s="1"/>
  <c r="K129" i="100" a="1"/>
  <c r="K129" i="100" s="1"/>
  <c r="J129" i="100" a="1"/>
  <c r="J129" i="100" s="1"/>
  <c r="I129" i="100" a="1"/>
  <c r="I129" i="100" s="1"/>
  <c r="H129" i="100" a="1"/>
  <c r="H129" i="100" s="1"/>
  <c r="G129" i="100" a="1"/>
  <c r="G129" i="100" s="1"/>
  <c r="F129" i="100" a="1"/>
  <c r="F129" i="100" s="1"/>
  <c r="E129" i="100" a="1"/>
  <c r="E129" i="100" s="1"/>
  <c r="D129" i="100" a="1"/>
  <c r="D129" i="100" s="1"/>
  <c r="AH128" i="100" a="1"/>
  <c r="AH128" i="100" s="1"/>
  <c r="AG128" i="100" a="1"/>
  <c r="AG128" i="100" s="1"/>
  <c r="AF128" i="100" a="1"/>
  <c r="AF128" i="100" s="1"/>
  <c r="AE128" i="100" a="1"/>
  <c r="AE128" i="100" s="1"/>
  <c r="AD128" i="100" a="1"/>
  <c r="AD128" i="100" s="1"/>
  <c r="AC128" i="100" a="1"/>
  <c r="AC128" i="100" s="1"/>
  <c r="AB128" i="100" a="1"/>
  <c r="AB128" i="100" s="1"/>
  <c r="AA128" i="100" a="1"/>
  <c r="AA128" i="100" s="1"/>
  <c r="Z128" i="100" a="1"/>
  <c r="Z128" i="100" s="1"/>
  <c r="Y128" i="100" a="1"/>
  <c r="Y128" i="100" s="1"/>
  <c r="X128" i="100" a="1"/>
  <c r="X128" i="100" s="1"/>
  <c r="W128" i="100" a="1"/>
  <c r="W128" i="100" s="1"/>
  <c r="V128" i="100" a="1"/>
  <c r="V128" i="100" s="1"/>
  <c r="U128" i="100" a="1"/>
  <c r="U128" i="100" s="1"/>
  <c r="T128" i="100" a="1"/>
  <c r="T128" i="100" s="1"/>
  <c r="S128" i="100" a="1"/>
  <c r="S128" i="100" s="1"/>
  <c r="R128" i="100" a="1"/>
  <c r="R128" i="100" s="1"/>
  <c r="Q128" i="100" a="1"/>
  <c r="Q128" i="100" s="1"/>
  <c r="P128" i="100" a="1"/>
  <c r="P128" i="100" s="1"/>
  <c r="O128" i="100" a="1"/>
  <c r="O128" i="100" s="1"/>
  <c r="N128" i="100" a="1"/>
  <c r="N128" i="100" s="1"/>
  <c r="M128" i="100" a="1"/>
  <c r="M128" i="100" s="1"/>
  <c r="L128" i="100" a="1"/>
  <c r="L128" i="100" s="1"/>
  <c r="K128" i="100" a="1"/>
  <c r="K128" i="100" s="1"/>
  <c r="J128" i="100" a="1"/>
  <c r="J128" i="100" s="1"/>
  <c r="I128" i="100" a="1"/>
  <c r="I128" i="100" s="1"/>
  <c r="H128" i="100" a="1"/>
  <c r="H128" i="100" s="1"/>
  <c r="G128" i="100" a="1"/>
  <c r="G128" i="100" s="1"/>
  <c r="F128" i="100" a="1"/>
  <c r="F128" i="100" s="1"/>
  <c r="E128" i="100" a="1"/>
  <c r="E128" i="100" s="1"/>
  <c r="D128" i="100" a="1"/>
  <c r="D128" i="100" s="1"/>
  <c r="AH127" i="100" a="1"/>
  <c r="AH127" i="100" s="1"/>
  <c r="AG127" i="100" a="1"/>
  <c r="AG127" i="100" s="1"/>
  <c r="AF127" i="100" a="1"/>
  <c r="AF127" i="100" s="1"/>
  <c r="AE127" i="100" a="1"/>
  <c r="AE127" i="100" s="1"/>
  <c r="AD127" i="100" a="1"/>
  <c r="AD127" i="100" s="1"/>
  <c r="AC127" i="100" a="1"/>
  <c r="AC127" i="100" s="1"/>
  <c r="AB127" i="100" a="1"/>
  <c r="AB127" i="100" s="1"/>
  <c r="AA127" i="100" a="1"/>
  <c r="AA127" i="100" s="1"/>
  <c r="Z127" i="100" a="1"/>
  <c r="Z127" i="100" s="1"/>
  <c r="Y127" i="100" a="1"/>
  <c r="Y127" i="100" s="1"/>
  <c r="X127" i="100" a="1"/>
  <c r="X127" i="100" s="1"/>
  <c r="W127" i="100" a="1"/>
  <c r="W127" i="100" s="1"/>
  <c r="V127" i="100" a="1"/>
  <c r="V127" i="100" s="1"/>
  <c r="U127" i="100" a="1"/>
  <c r="U127" i="100" s="1"/>
  <c r="T127" i="100" a="1"/>
  <c r="T127" i="100" s="1"/>
  <c r="S127" i="100" a="1"/>
  <c r="S127" i="100" s="1"/>
  <c r="R127" i="100" a="1"/>
  <c r="R127" i="100" s="1"/>
  <c r="Q127" i="100" a="1"/>
  <c r="Q127" i="100" s="1"/>
  <c r="P127" i="100" a="1"/>
  <c r="P127" i="100" s="1"/>
  <c r="O127" i="100" a="1"/>
  <c r="O127" i="100" s="1"/>
  <c r="N127" i="100" a="1"/>
  <c r="N127" i="100" s="1"/>
  <c r="M127" i="100" a="1"/>
  <c r="M127" i="100" s="1"/>
  <c r="L127" i="100" a="1"/>
  <c r="L127" i="100" s="1"/>
  <c r="K127" i="100" a="1"/>
  <c r="K127" i="100" s="1"/>
  <c r="J127" i="100" a="1"/>
  <c r="J127" i="100" s="1"/>
  <c r="I127" i="100" a="1"/>
  <c r="I127" i="100" s="1"/>
  <c r="H127" i="100" a="1"/>
  <c r="H127" i="100" s="1"/>
  <c r="G127" i="100" a="1"/>
  <c r="G127" i="100" s="1"/>
  <c r="F127" i="100" a="1"/>
  <c r="F127" i="100" s="1"/>
  <c r="E127" i="100" a="1"/>
  <c r="E127" i="100" s="1"/>
  <c r="D127" i="100" a="1"/>
  <c r="D127" i="100" s="1"/>
  <c r="AH126" i="100" a="1"/>
  <c r="AH126" i="100" s="1"/>
  <c r="AG126" i="100" a="1"/>
  <c r="AG126" i="100" s="1"/>
  <c r="AF126" i="100" a="1"/>
  <c r="AF126" i="100" s="1"/>
  <c r="AE126" i="100" a="1"/>
  <c r="AE126" i="100" s="1"/>
  <c r="AD126" i="100" a="1"/>
  <c r="AD126" i="100" s="1"/>
  <c r="AC126" i="100" a="1"/>
  <c r="AC126" i="100" s="1"/>
  <c r="AB126" i="100" a="1"/>
  <c r="AB126" i="100" s="1"/>
  <c r="AA126" i="100" a="1"/>
  <c r="AA126" i="100" s="1"/>
  <c r="Z126" i="100" a="1"/>
  <c r="Z126" i="100" s="1"/>
  <c r="Y126" i="100" a="1"/>
  <c r="Y126" i="100" s="1"/>
  <c r="X126" i="100" a="1"/>
  <c r="X126" i="100" s="1"/>
  <c r="W126" i="100" a="1"/>
  <c r="W126" i="100" s="1"/>
  <c r="V126" i="100" a="1"/>
  <c r="V126" i="100" s="1"/>
  <c r="U126" i="100" a="1"/>
  <c r="U126" i="100" s="1"/>
  <c r="T126" i="100" a="1"/>
  <c r="T126" i="100" s="1"/>
  <c r="S126" i="100" a="1"/>
  <c r="S126" i="100" s="1"/>
  <c r="R126" i="100" a="1"/>
  <c r="R126" i="100" s="1"/>
  <c r="Q126" i="100" a="1"/>
  <c r="Q126" i="100" s="1"/>
  <c r="P126" i="100" a="1"/>
  <c r="P126" i="100" s="1"/>
  <c r="O126" i="100" a="1"/>
  <c r="O126" i="100" s="1"/>
  <c r="N126" i="100" a="1"/>
  <c r="N126" i="100" s="1"/>
  <c r="M126" i="100" a="1"/>
  <c r="M126" i="100" s="1"/>
  <c r="L126" i="100" a="1"/>
  <c r="L126" i="100" s="1"/>
  <c r="K126" i="100" a="1"/>
  <c r="K126" i="100" s="1"/>
  <c r="J126" i="100" a="1"/>
  <c r="J126" i="100" s="1"/>
  <c r="I126" i="100" a="1"/>
  <c r="I126" i="100" s="1"/>
  <c r="H126" i="100" a="1"/>
  <c r="H126" i="100" s="1"/>
  <c r="G126" i="100" a="1"/>
  <c r="G126" i="100" s="1"/>
  <c r="F126" i="100" a="1"/>
  <c r="F126" i="100" s="1"/>
  <c r="E126" i="100" a="1"/>
  <c r="E126" i="100" s="1"/>
  <c r="D126" i="100" a="1"/>
  <c r="D126" i="100" s="1"/>
  <c r="AH125" i="100" a="1"/>
  <c r="AH125" i="100" s="1"/>
  <c r="AG125" i="100" a="1"/>
  <c r="AG125" i="100" s="1"/>
  <c r="AF125" i="100" a="1"/>
  <c r="AF125" i="100" s="1"/>
  <c r="AE125" i="100" a="1"/>
  <c r="AE125" i="100" s="1"/>
  <c r="AD125" i="100" a="1"/>
  <c r="AD125" i="100" s="1"/>
  <c r="AC125" i="100" a="1"/>
  <c r="AC125" i="100" s="1"/>
  <c r="AB125" i="100" a="1"/>
  <c r="AB125" i="100" s="1"/>
  <c r="AA125" i="100" a="1"/>
  <c r="AA125" i="100" s="1"/>
  <c r="Z125" i="100" a="1"/>
  <c r="Z125" i="100" s="1"/>
  <c r="Y125" i="100" a="1"/>
  <c r="Y125" i="100" s="1"/>
  <c r="X125" i="100" a="1"/>
  <c r="X125" i="100" s="1"/>
  <c r="W125" i="100" a="1"/>
  <c r="W125" i="100" s="1"/>
  <c r="V125" i="100" a="1"/>
  <c r="V125" i="100" s="1"/>
  <c r="U125" i="100" a="1"/>
  <c r="U125" i="100" s="1"/>
  <c r="T125" i="100" a="1"/>
  <c r="T125" i="100" s="1"/>
  <c r="S125" i="100" a="1"/>
  <c r="S125" i="100" s="1"/>
  <c r="R125" i="100" a="1"/>
  <c r="R125" i="100" s="1"/>
  <c r="Q125" i="100" a="1"/>
  <c r="Q125" i="100" s="1"/>
  <c r="P125" i="100" a="1"/>
  <c r="P125" i="100" s="1"/>
  <c r="O125" i="100" a="1"/>
  <c r="O125" i="100" s="1"/>
  <c r="N125" i="100" a="1"/>
  <c r="N125" i="100" s="1"/>
  <c r="M125" i="100" a="1"/>
  <c r="M125" i="100" s="1"/>
  <c r="L125" i="100" a="1"/>
  <c r="L125" i="100" s="1"/>
  <c r="K125" i="100" a="1"/>
  <c r="K125" i="100" s="1"/>
  <c r="J125" i="100" a="1"/>
  <c r="J125" i="100" s="1"/>
  <c r="I125" i="100" a="1"/>
  <c r="I125" i="100" s="1"/>
  <c r="H125" i="100" a="1"/>
  <c r="H125" i="100" s="1"/>
  <c r="G125" i="100" a="1"/>
  <c r="G125" i="100" s="1"/>
  <c r="F125" i="100" a="1"/>
  <c r="F125" i="100" s="1"/>
  <c r="E125" i="100" a="1"/>
  <c r="E125" i="100" s="1"/>
  <c r="D125" i="100" a="1"/>
  <c r="D125" i="100" s="1"/>
  <c r="AH124" i="100" a="1"/>
  <c r="AH124" i="100" s="1"/>
  <c r="AG124" i="100" a="1"/>
  <c r="AG124" i="100" s="1"/>
  <c r="AF124" i="100" a="1"/>
  <c r="AF124" i="100" s="1"/>
  <c r="AE124" i="100" a="1"/>
  <c r="AE124" i="100" s="1"/>
  <c r="AD124" i="100" a="1"/>
  <c r="AD124" i="100" s="1"/>
  <c r="AC124" i="100" a="1"/>
  <c r="AC124" i="100" s="1"/>
  <c r="AB124" i="100" a="1"/>
  <c r="AB124" i="100" s="1"/>
  <c r="AA124" i="100" a="1"/>
  <c r="AA124" i="100" s="1"/>
  <c r="Z124" i="100" a="1"/>
  <c r="Z124" i="100" s="1"/>
  <c r="Y124" i="100" a="1"/>
  <c r="Y124" i="100" s="1"/>
  <c r="X124" i="100" a="1"/>
  <c r="X124" i="100" s="1"/>
  <c r="W124" i="100" a="1"/>
  <c r="W124" i="100" s="1"/>
  <c r="V124" i="100" a="1"/>
  <c r="V124" i="100" s="1"/>
  <c r="U124" i="100" a="1"/>
  <c r="U124" i="100" s="1"/>
  <c r="T124" i="100" a="1"/>
  <c r="T124" i="100" s="1"/>
  <c r="S124" i="100" a="1"/>
  <c r="S124" i="100" s="1"/>
  <c r="R124" i="100" a="1"/>
  <c r="R124" i="100" s="1"/>
  <c r="Q124" i="100" a="1"/>
  <c r="Q124" i="100" s="1"/>
  <c r="P124" i="100" a="1"/>
  <c r="P124" i="100" s="1"/>
  <c r="O124" i="100" a="1"/>
  <c r="O124" i="100" s="1"/>
  <c r="N124" i="100" a="1"/>
  <c r="N124" i="100" s="1"/>
  <c r="M124" i="100" a="1"/>
  <c r="M124" i="100" s="1"/>
  <c r="L124" i="100" a="1"/>
  <c r="L124" i="100" s="1"/>
  <c r="K124" i="100" a="1"/>
  <c r="K124" i="100" s="1"/>
  <c r="J124" i="100" a="1"/>
  <c r="J124" i="100" s="1"/>
  <c r="I124" i="100" a="1"/>
  <c r="I124" i="100" s="1"/>
  <c r="H124" i="100" a="1"/>
  <c r="H124" i="100" s="1"/>
  <c r="G124" i="100" a="1"/>
  <c r="G124" i="100" s="1"/>
  <c r="F124" i="100" a="1"/>
  <c r="F124" i="100" s="1"/>
  <c r="E124" i="100" a="1"/>
  <c r="E124" i="100" s="1"/>
  <c r="D124" i="100" a="1"/>
  <c r="D124" i="100" s="1"/>
  <c r="AH123" i="100" a="1"/>
  <c r="AH123" i="100" s="1"/>
  <c r="AG123" i="100" a="1"/>
  <c r="AG123" i="100" s="1"/>
  <c r="AF123" i="100" a="1"/>
  <c r="AF123" i="100" s="1"/>
  <c r="AE123" i="100" a="1"/>
  <c r="AE123" i="100" s="1"/>
  <c r="AD123" i="100" a="1"/>
  <c r="AD123" i="100" s="1"/>
  <c r="AC123" i="100" a="1"/>
  <c r="AC123" i="100" s="1"/>
  <c r="AB123" i="100" a="1"/>
  <c r="AB123" i="100" s="1"/>
  <c r="AA123" i="100" a="1"/>
  <c r="AA123" i="100" s="1"/>
  <c r="Z123" i="100" a="1"/>
  <c r="Z123" i="100" s="1"/>
  <c r="Y123" i="100" a="1"/>
  <c r="Y123" i="100" s="1"/>
  <c r="X123" i="100" a="1"/>
  <c r="X123" i="100" s="1"/>
  <c r="W123" i="100" a="1"/>
  <c r="W123" i="100" s="1"/>
  <c r="V123" i="100" a="1"/>
  <c r="V123" i="100" s="1"/>
  <c r="U123" i="100" a="1"/>
  <c r="U123" i="100" s="1"/>
  <c r="T123" i="100" a="1"/>
  <c r="T123" i="100" s="1"/>
  <c r="S123" i="100" a="1"/>
  <c r="S123" i="100" s="1"/>
  <c r="R123" i="100" a="1"/>
  <c r="R123" i="100" s="1"/>
  <c r="Q123" i="100" a="1"/>
  <c r="Q123" i="100" s="1"/>
  <c r="P123" i="100" a="1"/>
  <c r="P123" i="100" s="1"/>
  <c r="O123" i="100" a="1"/>
  <c r="O123" i="100" s="1"/>
  <c r="N123" i="100" a="1"/>
  <c r="N123" i="100" s="1"/>
  <c r="M123" i="100" a="1"/>
  <c r="M123" i="100" s="1"/>
  <c r="L123" i="100" a="1"/>
  <c r="L123" i="100" s="1"/>
  <c r="K123" i="100" a="1"/>
  <c r="K123" i="100" s="1"/>
  <c r="J123" i="100" a="1"/>
  <c r="J123" i="100" s="1"/>
  <c r="I123" i="100" a="1"/>
  <c r="I123" i="100" s="1"/>
  <c r="H123" i="100" a="1"/>
  <c r="H123" i="100" s="1"/>
  <c r="G123" i="100" a="1"/>
  <c r="G123" i="100" s="1"/>
  <c r="F123" i="100" a="1"/>
  <c r="F123" i="100" s="1"/>
  <c r="E123" i="100" a="1"/>
  <c r="E123" i="100" s="1"/>
  <c r="D123" i="100" a="1"/>
  <c r="D123" i="100" s="1"/>
  <c r="AH122" i="100" a="1"/>
  <c r="AH122" i="100" s="1"/>
  <c r="AG122" i="100" a="1"/>
  <c r="AG122" i="100" s="1"/>
  <c r="AF122" i="100" a="1"/>
  <c r="AF122" i="100" s="1"/>
  <c r="AE122" i="100" a="1"/>
  <c r="AE122" i="100" s="1"/>
  <c r="AD122" i="100" a="1"/>
  <c r="AD122" i="100" s="1"/>
  <c r="AC122" i="100" a="1"/>
  <c r="AC122" i="100" s="1"/>
  <c r="AB122" i="100" a="1"/>
  <c r="AB122" i="100" s="1"/>
  <c r="AA122" i="100" a="1"/>
  <c r="AA122" i="100" s="1"/>
  <c r="Z122" i="100" a="1"/>
  <c r="Z122" i="100" s="1"/>
  <c r="Y122" i="100" a="1"/>
  <c r="Y122" i="100" s="1"/>
  <c r="X122" i="100" a="1"/>
  <c r="X122" i="100" s="1"/>
  <c r="W122" i="100" a="1"/>
  <c r="W122" i="100" s="1"/>
  <c r="V122" i="100" a="1"/>
  <c r="V122" i="100" s="1"/>
  <c r="U122" i="100" a="1"/>
  <c r="U122" i="100" s="1"/>
  <c r="T122" i="100" a="1"/>
  <c r="T122" i="100" s="1"/>
  <c r="S122" i="100" a="1"/>
  <c r="S122" i="100" s="1"/>
  <c r="R122" i="100" a="1"/>
  <c r="R122" i="100" s="1"/>
  <c r="Q122" i="100" a="1"/>
  <c r="Q122" i="100" s="1"/>
  <c r="P122" i="100" a="1"/>
  <c r="P122" i="100" s="1"/>
  <c r="O122" i="100" a="1"/>
  <c r="O122" i="100" s="1"/>
  <c r="N122" i="100" a="1"/>
  <c r="N122" i="100" s="1"/>
  <c r="M122" i="100" a="1"/>
  <c r="M122" i="100" s="1"/>
  <c r="L122" i="100" a="1"/>
  <c r="L122" i="100" s="1"/>
  <c r="K122" i="100" a="1"/>
  <c r="K122" i="100" s="1"/>
  <c r="J122" i="100" a="1"/>
  <c r="J122" i="100" s="1"/>
  <c r="I122" i="100" a="1"/>
  <c r="I122" i="100" s="1"/>
  <c r="H122" i="100" a="1"/>
  <c r="H122" i="100" s="1"/>
  <c r="G122" i="100" a="1"/>
  <c r="G122" i="100" s="1"/>
  <c r="F122" i="100" a="1"/>
  <c r="F122" i="100" s="1"/>
  <c r="E122" i="100" a="1"/>
  <c r="E122" i="100" s="1"/>
  <c r="D122" i="100" a="1"/>
  <c r="D122" i="100" s="1"/>
  <c r="AH121" i="100" a="1"/>
  <c r="AH121" i="100" s="1"/>
  <c r="AG121" i="100" a="1"/>
  <c r="AG121" i="100" s="1"/>
  <c r="AF121" i="100" a="1"/>
  <c r="AF121" i="100" s="1"/>
  <c r="AE121" i="100" a="1"/>
  <c r="AE121" i="100" s="1"/>
  <c r="AD121" i="100" a="1"/>
  <c r="AD121" i="100" s="1"/>
  <c r="AC121" i="100" a="1"/>
  <c r="AC121" i="100" s="1"/>
  <c r="AB121" i="100" a="1"/>
  <c r="AB121" i="100" s="1"/>
  <c r="AA121" i="100" a="1"/>
  <c r="AA121" i="100" s="1"/>
  <c r="Z121" i="100" a="1"/>
  <c r="Z121" i="100" s="1"/>
  <c r="Y121" i="100" a="1"/>
  <c r="Y121" i="100" s="1"/>
  <c r="X121" i="100" a="1"/>
  <c r="X121" i="100" s="1"/>
  <c r="W121" i="100" a="1"/>
  <c r="W121" i="100" s="1"/>
  <c r="V121" i="100" a="1"/>
  <c r="V121" i="100" s="1"/>
  <c r="U121" i="100" a="1"/>
  <c r="U121" i="100" s="1"/>
  <c r="T121" i="100" a="1"/>
  <c r="T121" i="100" s="1"/>
  <c r="S121" i="100" a="1"/>
  <c r="S121" i="100" s="1"/>
  <c r="R121" i="100" a="1"/>
  <c r="R121" i="100" s="1"/>
  <c r="Q121" i="100" a="1"/>
  <c r="Q121" i="100" s="1"/>
  <c r="P121" i="100" a="1"/>
  <c r="P121" i="100" s="1"/>
  <c r="O121" i="100" a="1"/>
  <c r="O121" i="100" s="1"/>
  <c r="N121" i="100" a="1"/>
  <c r="N121" i="100" s="1"/>
  <c r="M121" i="100" a="1"/>
  <c r="M121" i="100" s="1"/>
  <c r="L121" i="100" a="1"/>
  <c r="L121" i="100" s="1"/>
  <c r="K121" i="100" a="1"/>
  <c r="K121" i="100" s="1"/>
  <c r="J121" i="100" a="1"/>
  <c r="J121" i="100" s="1"/>
  <c r="I121" i="100" a="1"/>
  <c r="I121" i="100" s="1"/>
  <c r="H121" i="100" a="1"/>
  <c r="H121" i="100" s="1"/>
  <c r="G121" i="100" a="1"/>
  <c r="G121" i="100" s="1"/>
  <c r="F121" i="100" a="1"/>
  <c r="F121" i="100" s="1"/>
  <c r="E121" i="100" a="1"/>
  <c r="E121" i="100" s="1"/>
  <c r="D121" i="100" a="1"/>
  <c r="D121" i="100" s="1"/>
  <c r="AH120" i="100" a="1"/>
  <c r="AH120" i="100" s="1"/>
  <c r="AG120" i="100" a="1"/>
  <c r="AG120" i="100" s="1"/>
  <c r="AF120" i="100" a="1"/>
  <c r="AF120" i="100" s="1"/>
  <c r="AE120" i="100" a="1"/>
  <c r="AE120" i="100" s="1"/>
  <c r="AD120" i="100" a="1"/>
  <c r="AD120" i="100" s="1"/>
  <c r="AC120" i="100" a="1"/>
  <c r="AC120" i="100" s="1"/>
  <c r="AB120" i="100" a="1"/>
  <c r="AB120" i="100" s="1"/>
  <c r="AA120" i="100" a="1"/>
  <c r="AA120" i="100" s="1"/>
  <c r="Z120" i="100" a="1"/>
  <c r="Z120" i="100" s="1"/>
  <c r="Y120" i="100" a="1"/>
  <c r="Y120" i="100" s="1"/>
  <c r="X120" i="100" a="1"/>
  <c r="X120" i="100" s="1"/>
  <c r="W120" i="100" a="1"/>
  <c r="W120" i="100" s="1"/>
  <c r="V120" i="100" a="1"/>
  <c r="V120" i="100" s="1"/>
  <c r="U120" i="100" a="1"/>
  <c r="U120" i="100" s="1"/>
  <c r="T120" i="100" a="1"/>
  <c r="T120" i="100" s="1"/>
  <c r="S120" i="100" a="1"/>
  <c r="S120" i="100" s="1"/>
  <c r="R120" i="100" a="1"/>
  <c r="R120" i="100" s="1"/>
  <c r="Q120" i="100" a="1"/>
  <c r="Q120" i="100" s="1"/>
  <c r="P120" i="100" a="1"/>
  <c r="P120" i="100" s="1"/>
  <c r="O120" i="100" a="1"/>
  <c r="O120" i="100" s="1"/>
  <c r="N120" i="100" a="1"/>
  <c r="N120" i="100" s="1"/>
  <c r="M120" i="100" a="1"/>
  <c r="M120" i="100" s="1"/>
  <c r="L120" i="100" a="1"/>
  <c r="L120" i="100" s="1"/>
  <c r="K120" i="100" a="1"/>
  <c r="K120" i="100" s="1"/>
  <c r="J120" i="100" a="1"/>
  <c r="J120" i="100" s="1"/>
  <c r="I120" i="100" a="1"/>
  <c r="I120" i="100" s="1"/>
  <c r="H120" i="100" a="1"/>
  <c r="H120" i="100" s="1"/>
  <c r="G120" i="100" a="1"/>
  <c r="G120" i="100" s="1"/>
  <c r="F120" i="100" a="1"/>
  <c r="F120" i="100" s="1"/>
  <c r="E120" i="100" a="1"/>
  <c r="E120" i="100" s="1"/>
  <c r="D120" i="100" a="1"/>
  <c r="D120" i="100" s="1"/>
  <c r="AH119" i="100" a="1"/>
  <c r="AH119" i="100" s="1"/>
  <c r="AG119" i="100" a="1"/>
  <c r="AG119" i="100" s="1"/>
  <c r="AF119" i="100" a="1"/>
  <c r="AF119" i="100" s="1"/>
  <c r="AE119" i="100" a="1"/>
  <c r="AE119" i="100" s="1"/>
  <c r="AD119" i="100" a="1"/>
  <c r="AD119" i="100" s="1"/>
  <c r="AC119" i="100" a="1"/>
  <c r="AC119" i="100" s="1"/>
  <c r="AB119" i="100" a="1"/>
  <c r="AB119" i="100" s="1"/>
  <c r="AA119" i="100" a="1"/>
  <c r="AA119" i="100" s="1"/>
  <c r="Z119" i="100" a="1"/>
  <c r="Z119" i="100" s="1"/>
  <c r="Y119" i="100" a="1"/>
  <c r="Y119" i="100" s="1"/>
  <c r="X119" i="100" a="1"/>
  <c r="X119" i="100" s="1"/>
  <c r="W119" i="100" a="1"/>
  <c r="W119" i="100" s="1"/>
  <c r="V119" i="100" a="1"/>
  <c r="V119" i="100" s="1"/>
  <c r="U119" i="100" a="1"/>
  <c r="U119" i="100" s="1"/>
  <c r="T119" i="100" a="1"/>
  <c r="T119" i="100" s="1"/>
  <c r="S119" i="100" a="1"/>
  <c r="S119" i="100" s="1"/>
  <c r="R119" i="100" a="1"/>
  <c r="R119" i="100" s="1"/>
  <c r="Q119" i="100" a="1"/>
  <c r="Q119" i="100" s="1"/>
  <c r="P119" i="100" a="1"/>
  <c r="P119" i="100" s="1"/>
  <c r="O119" i="100" a="1"/>
  <c r="O119" i="100" s="1"/>
  <c r="N119" i="100" a="1"/>
  <c r="N119" i="100" s="1"/>
  <c r="M119" i="100" a="1"/>
  <c r="M119" i="100" s="1"/>
  <c r="L119" i="100" a="1"/>
  <c r="L119" i="100" s="1"/>
  <c r="K119" i="100" a="1"/>
  <c r="K119" i="100" s="1"/>
  <c r="J119" i="100" a="1"/>
  <c r="J119" i="100" s="1"/>
  <c r="I119" i="100" a="1"/>
  <c r="I119" i="100" s="1"/>
  <c r="H119" i="100" a="1"/>
  <c r="H119" i="100" s="1"/>
  <c r="G119" i="100" a="1"/>
  <c r="G119" i="100" s="1"/>
  <c r="F119" i="100" a="1"/>
  <c r="F119" i="100" s="1"/>
  <c r="E119" i="100" a="1"/>
  <c r="E119" i="100" s="1"/>
  <c r="D119" i="100" a="1"/>
  <c r="D119" i="100" s="1"/>
  <c r="AH118" i="100" a="1"/>
  <c r="AH118" i="100" s="1"/>
  <c r="AG118" i="100" a="1"/>
  <c r="AG118" i="100" s="1"/>
  <c r="AF118" i="100" a="1"/>
  <c r="AF118" i="100" s="1"/>
  <c r="AE118" i="100" a="1"/>
  <c r="AE118" i="100" s="1"/>
  <c r="AD118" i="100" a="1"/>
  <c r="AD118" i="100" s="1"/>
  <c r="AC118" i="100" a="1"/>
  <c r="AC118" i="100" s="1"/>
  <c r="AB118" i="100" a="1"/>
  <c r="AB118" i="100" s="1"/>
  <c r="AA118" i="100" a="1"/>
  <c r="AA118" i="100" s="1"/>
  <c r="Z118" i="100" a="1"/>
  <c r="Z118" i="100" s="1"/>
  <c r="Y118" i="100" a="1"/>
  <c r="Y118" i="100" s="1"/>
  <c r="X118" i="100" a="1"/>
  <c r="X118" i="100" s="1"/>
  <c r="W118" i="100" a="1"/>
  <c r="W118" i="100" s="1"/>
  <c r="V118" i="100" a="1"/>
  <c r="V118" i="100" s="1"/>
  <c r="U118" i="100" a="1"/>
  <c r="U118" i="100" s="1"/>
  <c r="T118" i="100" a="1"/>
  <c r="T118" i="100" s="1"/>
  <c r="S118" i="100" a="1"/>
  <c r="S118" i="100" s="1"/>
  <c r="R118" i="100" a="1"/>
  <c r="R118" i="100" s="1"/>
  <c r="Q118" i="100" a="1"/>
  <c r="Q118" i="100" s="1"/>
  <c r="P118" i="100" a="1"/>
  <c r="P118" i="100" s="1"/>
  <c r="O118" i="100" a="1"/>
  <c r="O118" i="100" s="1"/>
  <c r="N118" i="100" a="1"/>
  <c r="N118" i="100" s="1"/>
  <c r="M118" i="100" a="1"/>
  <c r="M118" i="100" s="1"/>
  <c r="L118" i="100" a="1"/>
  <c r="L118" i="100" s="1"/>
  <c r="K118" i="100" a="1"/>
  <c r="K118" i="100" s="1"/>
  <c r="J118" i="100" a="1"/>
  <c r="J118" i="100" s="1"/>
  <c r="I118" i="100" a="1"/>
  <c r="I118" i="100" s="1"/>
  <c r="H118" i="100" a="1"/>
  <c r="H118" i="100" s="1"/>
  <c r="G118" i="100" a="1"/>
  <c r="G118" i="100" s="1"/>
  <c r="F118" i="100" a="1"/>
  <c r="F118" i="100" s="1"/>
  <c r="E118" i="100" a="1"/>
  <c r="E118" i="100" s="1"/>
  <c r="D118" i="100" a="1"/>
  <c r="D118" i="100" s="1"/>
  <c r="AH117" i="100" a="1"/>
  <c r="AH117" i="100" s="1"/>
  <c r="AG117" i="100" a="1"/>
  <c r="AG117" i="100" s="1"/>
  <c r="AF117" i="100" a="1"/>
  <c r="AF117" i="100" s="1"/>
  <c r="AE117" i="100" a="1"/>
  <c r="AE117" i="100" s="1"/>
  <c r="AD117" i="100" a="1"/>
  <c r="AD117" i="100" s="1"/>
  <c r="AC117" i="100" a="1"/>
  <c r="AC117" i="100" s="1"/>
  <c r="AB117" i="100" a="1"/>
  <c r="AB117" i="100" s="1"/>
  <c r="AA117" i="100" a="1"/>
  <c r="AA117" i="100" s="1"/>
  <c r="Z117" i="100" a="1"/>
  <c r="Z117" i="100" s="1"/>
  <c r="Y117" i="100" a="1"/>
  <c r="Y117" i="100" s="1"/>
  <c r="X117" i="100" a="1"/>
  <c r="X117" i="100" s="1"/>
  <c r="W117" i="100" a="1"/>
  <c r="W117" i="100" s="1"/>
  <c r="V117" i="100" a="1"/>
  <c r="V117" i="100" s="1"/>
  <c r="U117" i="100" a="1"/>
  <c r="U117" i="100" s="1"/>
  <c r="T117" i="100" a="1"/>
  <c r="T117" i="100" s="1"/>
  <c r="S117" i="100" a="1"/>
  <c r="S117" i="100" s="1"/>
  <c r="R117" i="100" a="1"/>
  <c r="R117" i="100" s="1"/>
  <c r="Q117" i="100" a="1"/>
  <c r="Q117" i="100" s="1"/>
  <c r="P117" i="100" a="1"/>
  <c r="P117" i="100" s="1"/>
  <c r="O117" i="100" a="1"/>
  <c r="O117" i="100" s="1"/>
  <c r="N117" i="100" a="1"/>
  <c r="N117" i="100" s="1"/>
  <c r="M117" i="100" a="1"/>
  <c r="M117" i="100" s="1"/>
  <c r="L117" i="100" a="1"/>
  <c r="L117" i="100" s="1"/>
  <c r="K117" i="100" a="1"/>
  <c r="K117" i="100" s="1"/>
  <c r="J117" i="100" a="1"/>
  <c r="J117" i="100" s="1"/>
  <c r="I117" i="100" a="1"/>
  <c r="I117" i="100" s="1"/>
  <c r="H117" i="100" a="1"/>
  <c r="H117" i="100" s="1"/>
  <c r="G117" i="100" a="1"/>
  <c r="G117" i="100" s="1"/>
  <c r="F117" i="100" a="1"/>
  <c r="F117" i="100" s="1"/>
  <c r="E117" i="100" a="1"/>
  <c r="E117" i="100" s="1"/>
  <c r="D117" i="100" a="1"/>
  <c r="D117" i="100" s="1"/>
  <c r="AH116" i="100" a="1"/>
  <c r="AH116" i="100" s="1"/>
  <c r="AG116" i="100" a="1"/>
  <c r="AG116" i="100" s="1"/>
  <c r="AF116" i="100" a="1"/>
  <c r="AF116" i="100" s="1"/>
  <c r="AE116" i="100" a="1"/>
  <c r="AE116" i="100" s="1"/>
  <c r="AD116" i="100" a="1"/>
  <c r="AD116" i="100" s="1"/>
  <c r="AC116" i="100" a="1"/>
  <c r="AC116" i="100" s="1"/>
  <c r="AB116" i="100" a="1"/>
  <c r="AB116" i="100" s="1"/>
  <c r="AA116" i="100" a="1"/>
  <c r="AA116" i="100" s="1"/>
  <c r="Z116" i="100" a="1"/>
  <c r="Z116" i="100" s="1"/>
  <c r="Y116" i="100" a="1"/>
  <c r="Y116" i="100" s="1"/>
  <c r="X116" i="100" a="1"/>
  <c r="X116" i="100" s="1"/>
  <c r="W116" i="100" a="1"/>
  <c r="W116" i="100" s="1"/>
  <c r="V116" i="100" a="1"/>
  <c r="V116" i="100" s="1"/>
  <c r="U116" i="100" a="1"/>
  <c r="U116" i="100" s="1"/>
  <c r="T116" i="100" a="1"/>
  <c r="T116" i="100" s="1"/>
  <c r="S116" i="100" a="1"/>
  <c r="S116" i="100" s="1"/>
  <c r="R116" i="100" a="1"/>
  <c r="R116" i="100" s="1"/>
  <c r="Q116" i="100" a="1"/>
  <c r="Q116" i="100" s="1"/>
  <c r="P116" i="100" a="1"/>
  <c r="P116" i="100" s="1"/>
  <c r="O116" i="100" a="1"/>
  <c r="O116" i="100" s="1"/>
  <c r="N116" i="100" a="1"/>
  <c r="N116" i="100" s="1"/>
  <c r="M116" i="100" a="1"/>
  <c r="M116" i="100" s="1"/>
  <c r="L116" i="100" a="1"/>
  <c r="L116" i="100" s="1"/>
  <c r="K116" i="100" a="1"/>
  <c r="K116" i="100" s="1"/>
  <c r="J116" i="100" a="1"/>
  <c r="J116" i="100" s="1"/>
  <c r="I116" i="100" a="1"/>
  <c r="I116" i="100" s="1"/>
  <c r="H116" i="100" a="1"/>
  <c r="H116" i="100" s="1"/>
  <c r="G116" i="100" a="1"/>
  <c r="G116" i="100" s="1"/>
  <c r="F116" i="100" a="1"/>
  <c r="F116" i="100" s="1"/>
  <c r="E116" i="100" a="1"/>
  <c r="E116" i="100" s="1"/>
  <c r="D116" i="100" a="1"/>
  <c r="D116" i="100" s="1"/>
  <c r="AH115" i="100" a="1"/>
  <c r="AH115" i="100" s="1"/>
  <c r="AG115" i="100" a="1"/>
  <c r="AG115" i="100" s="1"/>
  <c r="AF115" i="100" a="1"/>
  <c r="AF115" i="100" s="1"/>
  <c r="AE115" i="100" a="1"/>
  <c r="AE115" i="100" s="1"/>
  <c r="AD115" i="100" a="1"/>
  <c r="AD115" i="100" s="1"/>
  <c r="AC115" i="100" a="1"/>
  <c r="AC115" i="100" s="1"/>
  <c r="AB115" i="100" a="1"/>
  <c r="AB115" i="100" s="1"/>
  <c r="AA115" i="100" a="1"/>
  <c r="AA115" i="100" s="1"/>
  <c r="Z115" i="100" a="1"/>
  <c r="Z115" i="100" s="1"/>
  <c r="Y115" i="100" a="1"/>
  <c r="Y115" i="100" s="1"/>
  <c r="X115" i="100" a="1"/>
  <c r="X115" i="100" s="1"/>
  <c r="W115" i="100" a="1"/>
  <c r="W115" i="100" s="1"/>
  <c r="V115" i="100" a="1"/>
  <c r="V115" i="100" s="1"/>
  <c r="U115" i="100" a="1"/>
  <c r="U115" i="100" s="1"/>
  <c r="T115" i="100" a="1"/>
  <c r="T115" i="100" s="1"/>
  <c r="S115" i="100" a="1"/>
  <c r="S115" i="100" s="1"/>
  <c r="R115" i="100" a="1"/>
  <c r="R115" i="100" s="1"/>
  <c r="Q115" i="100" a="1"/>
  <c r="Q115" i="100" s="1"/>
  <c r="P115" i="100" a="1"/>
  <c r="P115" i="100" s="1"/>
  <c r="O115" i="100" a="1"/>
  <c r="O115" i="100" s="1"/>
  <c r="N115" i="100" a="1"/>
  <c r="N115" i="100" s="1"/>
  <c r="M115" i="100" a="1"/>
  <c r="M115" i="100" s="1"/>
  <c r="L115" i="100" a="1"/>
  <c r="L115" i="100" s="1"/>
  <c r="K115" i="100" a="1"/>
  <c r="K115" i="100" s="1"/>
  <c r="J115" i="100" a="1"/>
  <c r="J115" i="100" s="1"/>
  <c r="I115" i="100" a="1"/>
  <c r="I115" i="100" s="1"/>
  <c r="H115" i="100" a="1"/>
  <c r="H115" i="100" s="1"/>
  <c r="G115" i="100" a="1"/>
  <c r="G115" i="100" s="1"/>
  <c r="F115" i="100" a="1"/>
  <c r="F115" i="100" s="1"/>
  <c r="E115" i="100" a="1"/>
  <c r="E115" i="100" s="1"/>
  <c r="D115" i="100" a="1"/>
  <c r="D115" i="100" s="1"/>
  <c r="AH114" i="100" a="1"/>
  <c r="AH114" i="100" s="1"/>
  <c r="AG114" i="100" a="1"/>
  <c r="AG114" i="100" s="1"/>
  <c r="AF114" i="100" a="1"/>
  <c r="AF114" i="100" s="1"/>
  <c r="AE114" i="100" a="1"/>
  <c r="AE114" i="100" s="1"/>
  <c r="AD114" i="100" a="1"/>
  <c r="AD114" i="100" s="1"/>
  <c r="AC114" i="100" a="1"/>
  <c r="AC114" i="100" s="1"/>
  <c r="AB114" i="100" a="1"/>
  <c r="AB114" i="100" s="1"/>
  <c r="AA114" i="100" a="1"/>
  <c r="AA114" i="100" s="1"/>
  <c r="Z114" i="100" a="1"/>
  <c r="Z114" i="100" s="1"/>
  <c r="Y114" i="100" a="1"/>
  <c r="Y114" i="100" s="1"/>
  <c r="X114" i="100" a="1"/>
  <c r="X114" i="100" s="1"/>
  <c r="W114" i="100" a="1"/>
  <c r="W114" i="100" s="1"/>
  <c r="V114" i="100" a="1"/>
  <c r="V114" i="100" s="1"/>
  <c r="U114" i="100" a="1"/>
  <c r="U114" i="100" s="1"/>
  <c r="T114" i="100" a="1"/>
  <c r="T114" i="100" s="1"/>
  <c r="S114" i="100" a="1"/>
  <c r="S114" i="100" s="1"/>
  <c r="R114" i="100" a="1"/>
  <c r="R114" i="100" s="1"/>
  <c r="Q114" i="100" a="1"/>
  <c r="Q114" i="100" s="1"/>
  <c r="P114" i="100" a="1"/>
  <c r="P114" i="100" s="1"/>
  <c r="O114" i="100" a="1"/>
  <c r="O114" i="100" s="1"/>
  <c r="N114" i="100" a="1"/>
  <c r="N114" i="100" s="1"/>
  <c r="M114" i="100" a="1"/>
  <c r="M114" i="100" s="1"/>
  <c r="L114" i="100" a="1"/>
  <c r="L114" i="100" s="1"/>
  <c r="K114" i="100" a="1"/>
  <c r="K114" i="100" s="1"/>
  <c r="J114" i="100" a="1"/>
  <c r="J114" i="100" s="1"/>
  <c r="I114" i="100" a="1"/>
  <c r="I114" i="100" s="1"/>
  <c r="H114" i="100" a="1"/>
  <c r="H114" i="100" s="1"/>
  <c r="G114" i="100" a="1"/>
  <c r="G114" i="100" s="1"/>
  <c r="F114" i="100" a="1"/>
  <c r="F114" i="100" s="1"/>
  <c r="E114" i="100" a="1"/>
  <c r="E114" i="100" s="1"/>
  <c r="D114" i="100" a="1"/>
  <c r="D114" i="100" s="1"/>
  <c r="AH113" i="100" a="1"/>
  <c r="AH113" i="100" s="1"/>
  <c r="AG113" i="100" a="1"/>
  <c r="AG113" i="100" s="1"/>
  <c r="AF113" i="100" a="1"/>
  <c r="AF113" i="100" s="1"/>
  <c r="AE113" i="100" a="1"/>
  <c r="AE113" i="100" s="1"/>
  <c r="AD113" i="100" a="1"/>
  <c r="AD113" i="100" s="1"/>
  <c r="AC113" i="100" a="1"/>
  <c r="AC113" i="100" s="1"/>
  <c r="AB113" i="100" a="1"/>
  <c r="AB113" i="100" s="1"/>
  <c r="AA113" i="100" a="1"/>
  <c r="AA113" i="100" s="1"/>
  <c r="Z113" i="100" a="1"/>
  <c r="Z113" i="100" s="1"/>
  <c r="Y113" i="100" a="1"/>
  <c r="Y113" i="100" s="1"/>
  <c r="X113" i="100" a="1"/>
  <c r="X113" i="100" s="1"/>
  <c r="W113" i="100" a="1"/>
  <c r="W113" i="100" s="1"/>
  <c r="V113" i="100" a="1"/>
  <c r="V113" i="100" s="1"/>
  <c r="U113" i="100" a="1"/>
  <c r="U113" i="100" s="1"/>
  <c r="T113" i="100" a="1"/>
  <c r="T113" i="100" s="1"/>
  <c r="S113" i="100" a="1"/>
  <c r="S113" i="100" s="1"/>
  <c r="R113" i="100" a="1"/>
  <c r="R113" i="100" s="1"/>
  <c r="Q113" i="100" a="1"/>
  <c r="Q113" i="100" s="1"/>
  <c r="P113" i="100" a="1"/>
  <c r="P113" i="100" s="1"/>
  <c r="O113" i="100" a="1"/>
  <c r="O113" i="100" s="1"/>
  <c r="N113" i="100" a="1"/>
  <c r="N113" i="100" s="1"/>
  <c r="M113" i="100" a="1"/>
  <c r="M113" i="100" s="1"/>
  <c r="L113" i="100" a="1"/>
  <c r="L113" i="100" s="1"/>
  <c r="K113" i="100" a="1"/>
  <c r="K113" i="100" s="1"/>
  <c r="J113" i="100" a="1"/>
  <c r="J113" i="100" s="1"/>
  <c r="I113" i="100" a="1"/>
  <c r="I113" i="100" s="1"/>
  <c r="H113" i="100" a="1"/>
  <c r="H113" i="100" s="1"/>
  <c r="G113" i="100" a="1"/>
  <c r="G113" i="100" s="1"/>
  <c r="F113" i="100" a="1"/>
  <c r="F113" i="100" s="1"/>
  <c r="E113" i="100" a="1"/>
  <c r="E113" i="100" s="1"/>
  <c r="D113" i="100" a="1"/>
  <c r="D113" i="100" s="1"/>
  <c r="AH112" i="100" a="1"/>
  <c r="AH112" i="100" s="1"/>
  <c r="AG112" i="100" a="1"/>
  <c r="AG112" i="100" s="1"/>
  <c r="AF112" i="100" a="1"/>
  <c r="AF112" i="100" s="1"/>
  <c r="AE112" i="100" a="1"/>
  <c r="AE112" i="100" s="1"/>
  <c r="AD112" i="100" a="1"/>
  <c r="AD112" i="100" s="1"/>
  <c r="AC112" i="100" a="1"/>
  <c r="AC112" i="100" s="1"/>
  <c r="AB112" i="100" a="1"/>
  <c r="AB112" i="100" s="1"/>
  <c r="AA112" i="100" a="1"/>
  <c r="AA112" i="100" s="1"/>
  <c r="Z112" i="100" a="1"/>
  <c r="Z112" i="100" s="1"/>
  <c r="Y112" i="100" a="1"/>
  <c r="Y112" i="100" s="1"/>
  <c r="X112" i="100" a="1"/>
  <c r="X112" i="100" s="1"/>
  <c r="W112" i="100" a="1"/>
  <c r="W112" i="100" s="1"/>
  <c r="V112" i="100" a="1"/>
  <c r="V112" i="100" s="1"/>
  <c r="U112" i="100" a="1"/>
  <c r="U112" i="100" s="1"/>
  <c r="T112" i="100" a="1"/>
  <c r="T112" i="100" s="1"/>
  <c r="S112" i="100" a="1"/>
  <c r="S112" i="100" s="1"/>
  <c r="R112" i="100" a="1"/>
  <c r="R112" i="100" s="1"/>
  <c r="Q112" i="100" a="1"/>
  <c r="Q112" i="100" s="1"/>
  <c r="P112" i="100" a="1"/>
  <c r="P112" i="100" s="1"/>
  <c r="O112" i="100" a="1"/>
  <c r="O112" i="100" s="1"/>
  <c r="N112" i="100" a="1"/>
  <c r="N112" i="100" s="1"/>
  <c r="M112" i="100" a="1"/>
  <c r="M112" i="100" s="1"/>
  <c r="L112" i="100" a="1"/>
  <c r="L112" i="100" s="1"/>
  <c r="K112" i="100" a="1"/>
  <c r="K112" i="100" s="1"/>
  <c r="J112" i="100" a="1"/>
  <c r="J112" i="100" s="1"/>
  <c r="I112" i="100" a="1"/>
  <c r="I112" i="100" s="1"/>
  <c r="H112" i="100" a="1"/>
  <c r="H112" i="100" s="1"/>
  <c r="G112" i="100" a="1"/>
  <c r="G112" i="100" s="1"/>
  <c r="F112" i="100" a="1"/>
  <c r="F112" i="100" s="1"/>
  <c r="E112" i="100" a="1"/>
  <c r="E112" i="100" s="1"/>
  <c r="D112" i="100" a="1"/>
  <c r="D112" i="100" s="1"/>
  <c r="AH111" i="100" a="1"/>
  <c r="AH111" i="100" s="1"/>
  <c r="AG111" i="100" a="1"/>
  <c r="AG111" i="100" s="1"/>
  <c r="AF111" i="100" a="1"/>
  <c r="AF111" i="100" s="1"/>
  <c r="AE111" i="100" a="1"/>
  <c r="AE111" i="100" s="1"/>
  <c r="AD111" i="100" a="1"/>
  <c r="AD111" i="100" s="1"/>
  <c r="AC111" i="100" a="1"/>
  <c r="AC111" i="100" s="1"/>
  <c r="AB111" i="100" a="1"/>
  <c r="AB111" i="100" s="1"/>
  <c r="AA111" i="100" a="1"/>
  <c r="AA111" i="100" s="1"/>
  <c r="Z111" i="100" a="1"/>
  <c r="Z111" i="100" s="1"/>
  <c r="Y111" i="100" a="1"/>
  <c r="Y111" i="100" s="1"/>
  <c r="X111" i="100" a="1"/>
  <c r="X111" i="100" s="1"/>
  <c r="W111" i="100" a="1"/>
  <c r="W111" i="100" s="1"/>
  <c r="V111" i="100" a="1"/>
  <c r="V111" i="100" s="1"/>
  <c r="U111" i="100" a="1"/>
  <c r="U111" i="100" s="1"/>
  <c r="T111" i="100" a="1"/>
  <c r="T111" i="100" s="1"/>
  <c r="S111" i="100" a="1"/>
  <c r="S111" i="100" s="1"/>
  <c r="R111" i="100" a="1"/>
  <c r="R111" i="100" s="1"/>
  <c r="Q111" i="100" a="1"/>
  <c r="Q111" i="100" s="1"/>
  <c r="P111" i="100" a="1"/>
  <c r="P111" i="100" s="1"/>
  <c r="O111" i="100" a="1"/>
  <c r="O111" i="100" s="1"/>
  <c r="N111" i="100" a="1"/>
  <c r="N111" i="100" s="1"/>
  <c r="M111" i="100" a="1"/>
  <c r="M111" i="100" s="1"/>
  <c r="L111" i="100" a="1"/>
  <c r="L111" i="100" s="1"/>
  <c r="K111" i="100" a="1"/>
  <c r="K111" i="100" s="1"/>
  <c r="J111" i="100" a="1"/>
  <c r="J111" i="100" s="1"/>
  <c r="I111" i="100" a="1"/>
  <c r="I111" i="100" s="1"/>
  <c r="H111" i="100" a="1"/>
  <c r="H111" i="100" s="1"/>
  <c r="G111" i="100" a="1"/>
  <c r="G111" i="100" s="1"/>
  <c r="F111" i="100" a="1"/>
  <c r="F111" i="100" s="1"/>
  <c r="E111" i="100" a="1"/>
  <c r="E111" i="100" s="1"/>
  <c r="D111" i="100" a="1"/>
  <c r="D111" i="100" s="1"/>
  <c r="AH110" i="100" a="1"/>
  <c r="AH110" i="100" s="1"/>
  <c r="AG110" i="100" a="1"/>
  <c r="AG110" i="100" s="1"/>
  <c r="AF110" i="100" a="1"/>
  <c r="AF110" i="100" s="1"/>
  <c r="AE110" i="100" a="1"/>
  <c r="AE110" i="100" s="1"/>
  <c r="AD110" i="100" a="1"/>
  <c r="AD110" i="100" s="1"/>
  <c r="AC110" i="100" a="1"/>
  <c r="AC110" i="100" s="1"/>
  <c r="AB110" i="100" a="1"/>
  <c r="AB110" i="100" s="1"/>
  <c r="AA110" i="100" a="1"/>
  <c r="AA110" i="100" s="1"/>
  <c r="Z110" i="100" a="1"/>
  <c r="Z110" i="100" s="1"/>
  <c r="Y110" i="100" a="1"/>
  <c r="Y110" i="100" s="1"/>
  <c r="X110" i="100" a="1"/>
  <c r="X110" i="100" s="1"/>
  <c r="W110" i="100" a="1"/>
  <c r="W110" i="100" s="1"/>
  <c r="V110" i="100" a="1"/>
  <c r="V110" i="100" s="1"/>
  <c r="U110" i="100" a="1"/>
  <c r="U110" i="100" s="1"/>
  <c r="T110" i="100" a="1"/>
  <c r="T110" i="100" s="1"/>
  <c r="S110" i="100" a="1"/>
  <c r="S110" i="100" s="1"/>
  <c r="R110" i="100" a="1"/>
  <c r="R110" i="100" s="1"/>
  <c r="Q110" i="100" a="1"/>
  <c r="Q110" i="100" s="1"/>
  <c r="P110" i="100" a="1"/>
  <c r="P110" i="100" s="1"/>
  <c r="O110" i="100" a="1"/>
  <c r="O110" i="100" s="1"/>
  <c r="N110" i="100" a="1"/>
  <c r="N110" i="100" s="1"/>
  <c r="M110" i="100" a="1"/>
  <c r="M110" i="100" s="1"/>
  <c r="L110" i="100" a="1"/>
  <c r="L110" i="100" s="1"/>
  <c r="K110" i="100" a="1"/>
  <c r="K110" i="100" s="1"/>
  <c r="J110" i="100" a="1"/>
  <c r="J110" i="100" s="1"/>
  <c r="I110" i="100" a="1"/>
  <c r="I110" i="100" s="1"/>
  <c r="H110" i="100" a="1"/>
  <c r="H110" i="100" s="1"/>
  <c r="G110" i="100" a="1"/>
  <c r="G110" i="100" s="1"/>
  <c r="F110" i="100" a="1"/>
  <c r="F110" i="100" s="1"/>
  <c r="E110" i="100" a="1"/>
  <c r="E110" i="100" s="1"/>
  <c r="D110" i="100" a="1"/>
  <c r="D110" i="100" s="1"/>
  <c r="AH109" i="100" a="1"/>
  <c r="AH109" i="100" s="1"/>
  <c r="AG109" i="100" a="1"/>
  <c r="AG109" i="100" s="1"/>
  <c r="AF109" i="100" a="1"/>
  <c r="AF109" i="100" s="1"/>
  <c r="AE109" i="100" a="1"/>
  <c r="AE109" i="100" s="1"/>
  <c r="AD109" i="100" a="1"/>
  <c r="AD109" i="100" s="1"/>
  <c r="AC109" i="100" a="1"/>
  <c r="AC109" i="100" s="1"/>
  <c r="AB109" i="100" a="1"/>
  <c r="AB109" i="100" s="1"/>
  <c r="AA109" i="100" a="1"/>
  <c r="AA109" i="100" s="1"/>
  <c r="Z109" i="100" a="1"/>
  <c r="Z109" i="100" s="1"/>
  <c r="Y109" i="100" a="1"/>
  <c r="Y109" i="100" s="1"/>
  <c r="X109" i="100" a="1"/>
  <c r="X109" i="100" s="1"/>
  <c r="W109" i="100" a="1"/>
  <c r="W109" i="100" s="1"/>
  <c r="V109" i="100" a="1"/>
  <c r="V109" i="100" s="1"/>
  <c r="U109" i="100" a="1"/>
  <c r="U109" i="100" s="1"/>
  <c r="T109" i="100" a="1"/>
  <c r="T109" i="100" s="1"/>
  <c r="S109" i="100" a="1"/>
  <c r="S109" i="100" s="1"/>
  <c r="R109" i="100" a="1"/>
  <c r="R109" i="100" s="1"/>
  <c r="Q109" i="100" a="1"/>
  <c r="Q109" i="100" s="1"/>
  <c r="P109" i="100" a="1"/>
  <c r="P109" i="100" s="1"/>
  <c r="O109" i="100" a="1"/>
  <c r="O109" i="100" s="1"/>
  <c r="N109" i="100" a="1"/>
  <c r="N109" i="100" s="1"/>
  <c r="M109" i="100" a="1"/>
  <c r="M109" i="100" s="1"/>
  <c r="L109" i="100" a="1"/>
  <c r="L109" i="100" s="1"/>
  <c r="K109" i="100" a="1"/>
  <c r="K109" i="100" s="1"/>
  <c r="J109" i="100" a="1"/>
  <c r="J109" i="100" s="1"/>
  <c r="I109" i="100" a="1"/>
  <c r="I109" i="100" s="1"/>
  <c r="H109" i="100" a="1"/>
  <c r="H109" i="100" s="1"/>
  <c r="G109" i="100" a="1"/>
  <c r="G109" i="100" s="1"/>
  <c r="F109" i="100" a="1"/>
  <c r="F109" i="100" s="1"/>
  <c r="E109" i="100" a="1"/>
  <c r="E109" i="100" s="1"/>
  <c r="D109" i="100" a="1"/>
  <c r="D109" i="100" s="1"/>
  <c r="AH108" i="100" a="1"/>
  <c r="AH108" i="100" s="1"/>
  <c r="AG108" i="100" a="1"/>
  <c r="AG108" i="100" s="1"/>
  <c r="AF108" i="100" a="1"/>
  <c r="AF108" i="100" s="1"/>
  <c r="AE108" i="100" a="1"/>
  <c r="AE108" i="100" s="1"/>
  <c r="AD108" i="100" a="1"/>
  <c r="AD108" i="100" s="1"/>
  <c r="AC108" i="100" a="1"/>
  <c r="AC108" i="100" s="1"/>
  <c r="AB108" i="100" a="1"/>
  <c r="AB108" i="100" s="1"/>
  <c r="AA108" i="100" a="1"/>
  <c r="AA108" i="100" s="1"/>
  <c r="Z108" i="100" a="1"/>
  <c r="Z108" i="100" s="1"/>
  <c r="Y108" i="100" a="1"/>
  <c r="Y108" i="100" s="1"/>
  <c r="X108" i="100" a="1"/>
  <c r="X108" i="100" s="1"/>
  <c r="W108" i="100" a="1"/>
  <c r="W108" i="100" s="1"/>
  <c r="V108" i="100" a="1"/>
  <c r="V108" i="100" s="1"/>
  <c r="U108" i="100" a="1"/>
  <c r="U108" i="100" s="1"/>
  <c r="T108" i="100" a="1"/>
  <c r="T108" i="100" s="1"/>
  <c r="S108" i="100" a="1"/>
  <c r="S108" i="100" s="1"/>
  <c r="R108" i="100" a="1"/>
  <c r="R108" i="100" s="1"/>
  <c r="Q108" i="100" a="1"/>
  <c r="Q108" i="100" s="1"/>
  <c r="P108" i="100" a="1"/>
  <c r="P108" i="100" s="1"/>
  <c r="O108" i="100" a="1"/>
  <c r="O108" i="100" s="1"/>
  <c r="N108" i="100" a="1"/>
  <c r="N108" i="100" s="1"/>
  <c r="M108" i="100" a="1"/>
  <c r="M108" i="100" s="1"/>
  <c r="L108" i="100" a="1"/>
  <c r="L108" i="100" s="1"/>
  <c r="K108" i="100" a="1"/>
  <c r="K108" i="100" s="1"/>
  <c r="J108" i="100" a="1"/>
  <c r="J108" i="100" s="1"/>
  <c r="I108" i="100" a="1"/>
  <c r="I108" i="100" s="1"/>
  <c r="H108" i="100" a="1"/>
  <c r="H108" i="100" s="1"/>
  <c r="G108" i="100" a="1"/>
  <c r="G108" i="100" s="1"/>
  <c r="F108" i="100" a="1"/>
  <c r="F108" i="100" s="1"/>
  <c r="E108" i="100" a="1"/>
  <c r="E108" i="100" s="1"/>
  <c r="D108" i="100" a="1"/>
  <c r="D108" i="100" s="1"/>
  <c r="AH107" i="100" a="1"/>
  <c r="AH107" i="100" s="1"/>
  <c r="AG107" i="100" a="1"/>
  <c r="AG107" i="100" s="1"/>
  <c r="AF107" i="100" a="1"/>
  <c r="AF107" i="100" s="1"/>
  <c r="AE107" i="100" a="1"/>
  <c r="AE107" i="100" s="1"/>
  <c r="AD107" i="100" a="1"/>
  <c r="AD107" i="100" s="1"/>
  <c r="AC107" i="100" a="1"/>
  <c r="AC107" i="100" s="1"/>
  <c r="AB107" i="100" a="1"/>
  <c r="AB107" i="100" s="1"/>
  <c r="AA107" i="100" a="1"/>
  <c r="AA107" i="100" s="1"/>
  <c r="Z107" i="100" a="1"/>
  <c r="Z107" i="100" s="1"/>
  <c r="Y107" i="100" a="1"/>
  <c r="Y107" i="100" s="1"/>
  <c r="X107" i="100" a="1"/>
  <c r="X107" i="100" s="1"/>
  <c r="W107" i="100" a="1"/>
  <c r="W107" i="100" s="1"/>
  <c r="V107" i="100" a="1"/>
  <c r="V107" i="100" s="1"/>
  <c r="U107" i="100" a="1"/>
  <c r="U107" i="100" s="1"/>
  <c r="T107" i="100" a="1"/>
  <c r="T107" i="100" s="1"/>
  <c r="S107" i="100" a="1"/>
  <c r="S107" i="100" s="1"/>
  <c r="R107" i="100" a="1"/>
  <c r="R107" i="100" s="1"/>
  <c r="Q107" i="100" a="1"/>
  <c r="Q107" i="100" s="1"/>
  <c r="P107" i="100" a="1"/>
  <c r="P107" i="100" s="1"/>
  <c r="O107" i="100" a="1"/>
  <c r="O107" i="100" s="1"/>
  <c r="N107" i="100" a="1"/>
  <c r="N107" i="100" s="1"/>
  <c r="M107" i="100" a="1"/>
  <c r="M107" i="100" s="1"/>
  <c r="L107" i="100" a="1"/>
  <c r="L107" i="100" s="1"/>
  <c r="K107" i="100" a="1"/>
  <c r="K107" i="100" s="1"/>
  <c r="J107" i="100" a="1"/>
  <c r="J107" i="100" s="1"/>
  <c r="I107" i="100" a="1"/>
  <c r="I107" i="100" s="1"/>
  <c r="H107" i="100" a="1"/>
  <c r="H107" i="100" s="1"/>
  <c r="G107" i="100" a="1"/>
  <c r="G107" i="100" s="1"/>
  <c r="F107" i="100" a="1"/>
  <c r="F107" i="100" s="1"/>
  <c r="E107" i="100" a="1"/>
  <c r="E107" i="100" s="1"/>
  <c r="D107" i="100" a="1"/>
  <c r="D107" i="100" s="1"/>
  <c r="AH106" i="100" a="1"/>
  <c r="AH106" i="100" s="1"/>
  <c r="AG106" i="100" a="1"/>
  <c r="AG106" i="100" s="1"/>
  <c r="AF106" i="100" a="1"/>
  <c r="AF106" i="100" s="1"/>
  <c r="AE106" i="100" a="1"/>
  <c r="AE106" i="100" s="1"/>
  <c r="AD106" i="100" a="1"/>
  <c r="AD106" i="100" s="1"/>
  <c r="AC106" i="100" a="1"/>
  <c r="AC106" i="100" s="1"/>
  <c r="AB106" i="100" a="1"/>
  <c r="AB106" i="100" s="1"/>
  <c r="AA106" i="100" a="1"/>
  <c r="AA106" i="100" s="1"/>
  <c r="Z106" i="100" a="1"/>
  <c r="Z106" i="100" s="1"/>
  <c r="Y106" i="100" a="1"/>
  <c r="Y106" i="100" s="1"/>
  <c r="X106" i="100" a="1"/>
  <c r="X106" i="100" s="1"/>
  <c r="W106" i="100" a="1"/>
  <c r="W106" i="100" s="1"/>
  <c r="V106" i="100" a="1"/>
  <c r="V106" i="100" s="1"/>
  <c r="U106" i="100" a="1"/>
  <c r="U106" i="100" s="1"/>
  <c r="T106" i="100" a="1"/>
  <c r="T106" i="100" s="1"/>
  <c r="S106" i="100" a="1"/>
  <c r="S106" i="100" s="1"/>
  <c r="R106" i="100" a="1"/>
  <c r="R106" i="100" s="1"/>
  <c r="Q106" i="100" a="1"/>
  <c r="Q106" i="100" s="1"/>
  <c r="P106" i="100" a="1"/>
  <c r="P106" i="100" s="1"/>
  <c r="O106" i="100" a="1"/>
  <c r="O106" i="100" s="1"/>
  <c r="N106" i="100" a="1"/>
  <c r="N106" i="100" s="1"/>
  <c r="M106" i="100" a="1"/>
  <c r="M106" i="100" s="1"/>
  <c r="L106" i="100" a="1"/>
  <c r="L106" i="100" s="1"/>
  <c r="K106" i="100" a="1"/>
  <c r="K106" i="100" s="1"/>
  <c r="J106" i="100" a="1"/>
  <c r="J106" i="100" s="1"/>
  <c r="I106" i="100" a="1"/>
  <c r="I106" i="100" s="1"/>
  <c r="H106" i="100" a="1"/>
  <c r="H106" i="100" s="1"/>
  <c r="G106" i="100" a="1"/>
  <c r="G106" i="100" s="1"/>
  <c r="F106" i="100" a="1"/>
  <c r="F106" i="100" s="1"/>
  <c r="E106" i="100" a="1"/>
  <c r="E106" i="100" s="1"/>
  <c r="D106" i="100" a="1"/>
  <c r="D106" i="100" s="1"/>
  <c r="AH105" i="100" a="1"/>
  <c r="AH105" i="100" s="1"/>
  <c r="AG105" i="100" a="1"/>
  <c r="AG105" i="100" s="1"/>
  <c r="AF105" i="100" a="1"/>
  <c r="AF105" i="100" s="1"/>
  <c r="AE105" i="100" a="1"/>
  <c r="AE105" i="100" s="1"/>
  <c r="AD105" i="100" a="1"/>
  <c r="AD105" i="100" s="1"/>
  <c r="AC105" i="100" a="1"/>
  <c r="AC105" i="100" s="1"/>
  <c r="AB105" i="100" a="1"/>
  <c r="AB105" i="100" s="1"/>
  <c r="AA105" i="100" a="1"/>
  <c r="AA105" i="100" s="1"/>
  <c r="Z105" i="100" a="1"/>
  <c r="Z105" i="100" s="1"/>
  <c r="Y105" i="100" a="1"/>
  <c r="Y105" i="100" s="1"/>
  <c r="X105" i="100" a="1"/>
  <c r="X105" i="100" s="1"/>
  <c r="W105" i="100" a="1"/>
  <c r="W105" i="100" s="1"/>
  <c r="V105" i="100" a="1"/>
  <c r="V105" i="100" s="1"/>
  <c r="U105" i="100" a="1"/>
  <c r="U105" i="100" s="1"/>
  <c r="T105" i="100" a="1"/>
  <c r="T105" i="100" s="1"/>
  <c r="S105" i="100" a="1"/>
  <c r="S105" i="100" s="1"/>
  <c r="R105" i="100" a="1"/>
  <c r="R105" i="100" s="1"/>
  <c r="Q105" i="100" a="1"/>
  <c r="Q105" i="100" s="1"/>
  <c r="P105" i="100" a="1"/>
  <c r="P105" i="100" s="1"/>
  <c r="O105" i="100" a="1"/>
  <c r="O105" i="100" s="1"/>
  <c r="N105" i="100" a="1"/>
  <c r="N105" i="100" s="1"/>
  <c r="M105" i="100" a="1"/>
  <c r="M105" i="100" s="1"/>
  <c r="L105" i="100" a="1"/>
  <c r="L105" i="100" s="1"/>
  <c r="K105" i="100" a="1"/>
  <c r="K105" i="100" s="1"/>
  <c r="J105" i="100" a="1"/>
  <c r="J105" i="100" s="1"/>
  <c r="I105" i="100" a="1"/>
  <c r="I105" i="100" s="1"/>
  <c r="H105" i="100" a="1"/>
  <c r="H105" i="100" s="1"/>
  <c r="G105" i="100" a="1"/>
  <c r="G105" i="100" s="1"/>
  <c r="F105" i="100" a="1"/>
  <c r="F105" i="100" s="1"/>
  <c r="E105" i="100" a="1"/>
  <c r="E105" i="100" s="1"/>
  <c r="D105" i="100" a="1"/>
  <c r="D105" i="100" s="1"/>
  <c r="AH104" i="100" a="1"/>
  <c r="AH104" i="100" s="1"/>
  <c r="AG104" i="100" a="1"/>
  <c r="AG104" i="100" s="1"/>
  <c r="AF104" i="100" a="1"/>
  <c r="AF104" i="100" s="1"/>
  <c r="AE104" i="100" a="1"/>
  <c r="AE104" i="100" s="1"/>
  <c r="AD104" i="100" a="1"/>
  <c r="AD104" i="100" s="1"/>
  <c r="AC104" i="100" a="1"/>
  <c r="AC104" i="100" s="1"/>
  <c r="AB104" i="100" a="1"/>
  <c r="AB104" i="100" s="1"/>
  <c r="AA104" i="100" a="1"/>
  <c r="AA104" i="100" s="1"/>
  <c r="Z104" i="100" a="1"/>
  <c r="Z104" i="100" s="1"/>
  <c r="Y104" i="100" a="1"/>
  <c r="Y104" i="100" s="1"/>
  <c r="X104" i="100" a="1"/>
  <c r="X104" i="100" s="1"/>
  <c r="W104" i="100" a="1"/>
  <c r="W104" i="100" s="1"/>
  <c r="V104" i="100" a="1"/>
  <c r="V104" i="100" s="1"/>
  <c r="U104" i="100" a="1"/>
  <c r="U104" i="100" s="1"/>
  <c r="T104" i="100" a="1"/>
  <c r="T104" i="100" s="1"/>
  <c r="S104" i="100" a="1"/>
  <c r="S104" i="100" s="1"/>
  <c r="R104" i="100" a="1"/>
  <c r="R104" i="100" s="1"/>
  <c r="Q104" i="100" a="1"/>
  <c r="Q104" i="100" s="1"/>
  <c r="P104" i="100" a="1"/>
  <c r="P104" i="100" s="1"/>
  <c r="O104" i="100" a="1"/>
  <c r="O104" i="100" s="1"/>
  <c r="N104" i="100" a="1"/>
  <c r="N104" i="100" s="1"/>
  <c r="M104" i="100" a="1"/>
  <c r="M104" i="100" s="1"/>
  <c r="L104" i="100" a="1"/>
  <c r="L104" i="100" s="1"/>
  <c r="K104" i="100" a="1"/>
  <c r="K104" i="100" s="1"/>
  <c r="J104" i="100" a="1"/>
  <c r="J104" i="100" s="1"/>
  <c r="I104" i="100" a="1"/>
  <c r="I104" i="100" s="1"/>
  <c r="H104" i="100" a="1"/>
  <c r="H104" i="100" s="1"/>
  <c r="G104" i="100" a="1"/>
  <c r="G104" i="100" s="1"/>
  <c r="F104" i="100" a="1"/>
  <c r="F104" i="100" s="1"/>
  <c r="E104" i="100" a="1"/>
  <c r="E104" i="100" s="1"/>
  <c r="D104" i="100" a="1"/>
  <c r="D104" i="100" s="1"/>
  <c r="AH103" i="100" a="1"/>
  <c r="AH103" i="100" s="1"/>
  <c r="AG103" i="100" a="1"/>
  <c r="AG103" i="100" s="1"/>
  <c r="AF103" i="100" a="1"/>
  <c r="AF103" i="100" s="1"/>
  <c r="AE103" i="100" a="1"/>
  <c r="AE103" i="100" s="1"/>
  <c r="AD103" i="100" a="1"/>
  <c r="AD103" i="100" s="1"/>
  <c r="AC103" i="100" a="1"/>
  <c r="AC103" i="100" s="1"/>
  <c r="AB103" i="100" a="1"/>
  <c r="AB103" i="100" s="1"/>
  <c r="AA103" i="100" a="1"/>
  <c r="AA103" i="100" s="1"/>
  <c r="Z103" i="100" a="1"/>
  <c r="Z103" i="100" s="1"/>
  <c r="Y103" i="100" a="1"/>
  <c r="Y103" i="100" s="1"/>
  <c r="X103" i="100" a="1"/>
  <c r="X103" i="100" s="1"/>
  <c r="W103" i="100" a="1"/>
  <c r="W103" i="100" s="1"/>
  <c r="V103" i="100" a="1"/>
  <c r="V103" i="100" s="1"/>
  <c r="U103" i="100" a="1"/>
  <c r="U103" i="100" s="1"/>
  <c r="T103" i="100" a="1"/>
  <c r="T103" i="100" s="1"/>
  <c r="S103" i="100" a="1"/>
  <c r="S103" i="100" s="1"/>
  <c r="R103" i="100" a="1"/>
  <c r="R103" i="100" s="1"/>
  <c r="Q103" i="100" a="1"/>
  <c r="Q103" i="100" s="1"/>
  <c r="P103" i="100" a="1"/>
  <c r="P103" i="100" s="1"/>
  <c r="O103" i="100" a="1"/>
  <c r="O103" i="100" s="1"/>
  <c r="N103" i="100" a="1"/>
  <c r="N103" i="100" s="1"/>
  <c r="M103" i="100" a="1"/>
  <c r="M103" i="100" s="1"/>
  <c r="L103" i="100" a="1"/>
  <c r="L103" i="100" s="1"/>
  <c r="K103" i="100" a="1"/>
  <c r="K103" i="100" s="1"/>
  <c r="J103" i="100" a="1"/>
  <c r="J103" i="100" s="1"/>
  <c r="I103" i="100" a="1"/>
  <c r="I103" i="100" s="1"/>
  <c r="H103" i="100" a="1"/>
  <c r="H103" i="100" s="1"/>
  <c r="G103" i="100" a="1"/>
  <c r="G103" i="100" s="1"/>
  <c r="F103" i="100" a="1"/>
  <c r="F103" i="100" s="1"/>
  <c r="E103" i="100" a="1"/>
  <c r="E103" i="100" s="1"/>
  <c r="D103" i="100" a="1"/>
  <c r="D103" i="100" s="1"/>
  <c r="AH102" i="100" a="1"/>
  <c r="AH102" i="100" s="1"/>
  <c r="AG102" i="100" a="1"/>
  <c r="AG102" i="100" s="1"/>
  <c r="AF102" i="100" a="1"/>
  <c r="AF102" i="100" s="1"/>
  <c r="AE102" i="100" a="1"/>
  <c r="AE102" i="100" s="1"/>
  <c r="AD102" i="100" a="1"/>
  <c r="AD102" i="100" s="1"/>
  <c r="AC102" i="100" a="1"/>
  <c r="AC102" i="100" s="1"/>
  <c r="AB102" i="100" a="1"/>
  <c r="AB102" i="100" s="1"/>
  <c r="AA102" i="100" a="1"/>
  <c r="AA102" i="100" s="1"/>
  <c r="Z102" i="100" a="1"/>
  <c r="Z102" i="100" s="1"/>
  <c r="Y102" i="100" a="1"/>
  <c r="Y102" i="100" s="1"/>
  <c r="X102" i="100" a="1"/>
  <c r="X102" i="100" s="1"/>
  <c r="W102" i="100" a="1"/>
  <c r="W102" i="100" s="1"/>
  <c r="V102" i="100" a="1"/>
  <c r="V102" i="100" s="1"/>
  <c r="U102" i="100" a="1"/>
  <c r="U102" i="100" s="1"/>
  <c r="T102" i="100" a="1"/>
  <c r="T102" i="100" s="1"/>
  <c r="S102" i="100" a="1"/>
  <c r="S102" i="100" s="1"/>
  <c r="R102" i="100" a="1"/>
  <c r="R102" i="100" s="1"/>
  <c r="Q102" i="100" a="1"/>
  <c r="Q102" i="100" s="1"/>
  <c r="P102" i="100" a="1"/>
  <c r="P102" i="100" s="1"/>
  <c r="O102" i="100" a="1"/>
  <c r="O102" i="100" s="1"/>
  <c r="N102" i="100" a="1"/>
  <c r="N102" i="100" s="1"/>
  <c r="M102" i="100" a="1"/>
  <c r="M102" i="100" s="1"/>
  <c r="L102" i="100" a="1"/>
  <c r="L102" i="100" s="1"/>
  <c r="K102" i="100" a="1"/>
  <c r="K102" i="100" s="1"/>
  <c r="J102" i="100" a="1"/>
  <c r="J102" i="100" s="1"/>
  <c r="I102" i="100" a="1"/>
  <c r="I102" i="100" s="1"/>
  <c r="H102" i="100" a="1"/>
  <c r="H102" i="100" s="1"/>
  <c r="G102" i="100" a="1"/>
  <c r="G102" i="100" s="1"/>
  <c r="F102" i="100" a="1"/>
  <c r="F102" i="100" s="1"/>
  <c r="E102" i="100" a="1"/>
  <c r="E102" i="100" s="1"/>
  <c r="D102" i="100" a="1"/>
  <c r="D102" i="100" s="1"/>
  <c r="AH101" i="100" a="1"/>
  <c r="AH101" i="100" s="1"/>
  <c r="AG101" i="100" a="1"/>
  <c r="AG101" i="100" s="1"/>
  <c r="AF101" i="100" a="1"/>
  <c r="AF101" i="100" s="1"/>
  <c r="AE101" i="100" a="1"/>
  <c r="AE101" i="100" s="1"/>
  <c r="AD101" i="100" a="1"/>
  <c r="AD101" i="100" s="1"/>
  <c r="AC101" i="100" a="1"/>
  <c r="AC101" i="100" s="1"/>
  <c r="AB101" i="100" a="1"/>
  <c r="AB101" i="100" s="1"/>
  <c r="AA101" i="100" a="1"/>
  <c r="AA101" i="100" s="1"/>
  <c r="Z101" i="100" a="1"/>
  <c r="Z101" i="100" s="1"/>
  <c r="Y101" i="100" a="1"/>
  <c r="Y101" i="100" s="1"/>
  <c r="X101" i="100" a="1"/>
  <c r="X101" i="100" s="1"/>
  <c r="W101" i="100" a="1"/>
  <c r="W101" i="100" s="1"/>
  <c r="V101" i="100" a="1"/>
  <c r="V101" i="100" s="1"/>
  <c r="U101" i="100" a="1"/>
  <c r="U101" i="100" s="1"/>
  <c r="T101" i="100" a="1"/>
  <c r="T101" i="100" s="1"/>
  <c r="S101" i="100" a="1"/>
  <c r="S101" i="100" s="1"/>
  <c r="R101" i="100" a="1"/>
  <c r="R101" i="100" s="1"/>
  <c r="Q101" i="100" a="1"/>
  <c r="Q101" i="100" s="1"/>
  <c r="P101" i="100" a="1"/>
  <c r="P101" i="100" s="1"/>
  <c r="O101" i="100" a="1"/>
  <c r="O101" i="100" s="1"/>
  <c r="N101" i="100" a="1"/>
  <c r="N101" i="100" s="1"/>
  <c r="M101" i="100" a="1"/>
  <c r="M101" i="100" s="1"/>
  <c r="L101" i="100" a="1"/>
  <c r="L101" i="100" s="1"/>
  <c r="K101" i="100" a="1"/>
  <c r="K101" i="100" s="1"/>
  <c r="J101" i="100" a="1"/>
  <c r="J101" i="100" s="1"/>
  <c r="I101" i="100" a="1"/>
  <c r="I101" i="100" s="1"/>
  <c r="H101" i="100" a="1"/>
  <c r="H101" i="100" s="1"/>
  <c r="G101" i="100" a="1"/>
  <c r="G101" i="100" s="1"/>
  <c r="F101" i="100" a="1"/>
  <c r="F101" i="100" s="1"/>
  <c r="E101" i="100" a="1"/>
  <c r="E101" i="100" s="1"/>
  <c r="D101" i="100" a="1"/>
  <c r="D101" i="100" s="1"/>
  <c r="AH100" i="100" a="1"/>
  <c r="AH100" i="100" s="1"/>
  <c r="AG100" i="100" a="1"/>
  <c r="AG100" i="100" s="1"/>
  <c r="AF100" i="100" a="1"/>
  <c r="AF100" i="100" s="1"/>
  <c r="AE100" i="100" a="1"/>
  <c r="AE100" i="100" s="1"/>
  <c r="AD100" i="100" a="1"/>
  <c r="AD100" i="100" s="1"/>
  <c r="AC100" i="100" a="1"/>
  <c r="AC100" i="100" s="1"/>
  <c r="AB100" i="100" a="1"/>
  <c r="AB100" i="100" s="1"/>
  <c r="AA100" i="100" a="1"/>
  <c r="AA100" i="100" s="1"/>
  <c r="Z100" i="100" a="1"/>
  <c r="Z100" i="100" s="1"/>
  <c r="Y100" i="100" a="1"/>
  <c r="Y100" i="100" s="1"/>
  <c r="X100" i="100" a="1"/>
  <c r="X100" i="100" s="1"/>
  <c r="W100" i="100" a="1"/>
  <c r="W100" i="100" s="1"/>
  <c r="V100" i="100" a="1"/>
  <c r="V100" i="100" s="1"/>
  <c r="U100" i="100" a="1"/>
  <c r="U100" i="100" s="1"/>
  <c r="T100" i="100" a="1"/>
  <c r="T100" i="100" s="1"/>
  <c r="S100" i="100" a="1"/>
  <c r="S100" i="100" s="1"/>
  <c r="R100" i="100" a="1"/>
  <c r="R100" i="100" s="1"/>
  <c r="Q100" i="100" a="1"/>
  <c r="Q100" i="100" s="1"/>
  <c r="P100" i="100" a="1"/>
  <c r="P100" i="100" s="1"/>
  <c r="O100" i="100" a="1"/>
  <c r="O100" i="100" s="1"/>
  <c r="N100" i="100" a="1"/>
  <c r="N100" i="100" s="1"/>
  <c r="M100" i="100" a="1"/>
  <c r="M100" i="100" s="1"/>
  <c r="L100" i="100" a="1"/>
  <c r="L100" i="100" s="1"/>
  <c r="K100" i="100" a="1"/>
  <c r="K100" i="100" s="1"/>
  <c r="J100" i="100" a="1"/>
  <c r="J100" i="100" s="1"/>
  <c r="I100" i="100" a="1"/>
  <c r="I100" i="100" s="1"/>
  <c r="H100" i="100" a="1"/>
  <c r="H100" i="100" s="1"/>
  <c r="G100" i="100" a="1"/>
  <c r="G100" i="100" s="1"/>
  <c r="F100" i="100" a="1"/>
  <c r="F100" i="100" s="1"/>
  <c r="E100" i="100" a="1"/>
  <c r="E100" i="100" s="1"/>
  <c r="D100" i="100" a="1"/>
  <c r="D100" i="100" s="1"/>
  <c r="AH99" i="100" a="1"/>
  <c r="AH99" i="100" s="1"/>
  <c r="AG99" i="100" a="1"/>
  <c r="AG99" i="100" s="1"/>
  <c r="AF99" i="100" a="1"/>
  <c r="AF99" i="100" s="1"/>
  <c r="AE99" i="100" a="1"/>
  <c r="AE99" i="100" s="1"/>
  <c r="AD99" i="100" a="1"/>
  <c r="AD99" i="100" s="1"/>
  <c r="AC99" i="100" a="1"/>
  <c r="AC99" i="100" s="1"/>
  <c r="AB99" i="100" a="1"/>
  <c r="AB99" i="100" s="1"/>
  <c r="AA99" i="100" a="1"/>
  <c r="AA99" i="100" s="1"/>
  <c r="Z99" i="100" a="1"/>
  <c r="Z99" i="100" s="1"/>
  <c r="Y99" i="100" a="1"/>
  <c r="Y99" i="100" s="1"/>
  <c r="X99" i="100" a="1"/>
  <c r="X99" i="100" s="1"/>
  <c r="W99" i="100" a="1"/>
  <c r="W99" i="100" s="1"/>
  <c r="V99" i="100" a="1"/>
  <c r="V99" i="100" s="1"/>
  <c r="U99" i="100" a="1"/>
  <c r="U99" i="100" s="1"/>
  <c r="T99" i="100" a="1"/>
  <c r="T99" i="100" s="1"/>
  <c r="S99" i="100" a="1"/>
  <c r="S99" i="100" s="1"/>
  <c r="R99" i="100" a="1"/>
  <c r="R99" i="100" s="1"/>
  <c r="Q99" i="100" a="1"/>
  <c r="Q99" i="100" s="1"/>
  <c r="P99" i="100" a="1"/>
  <c r="P99" i="100" s="1"/>
  <c r="O99" i="100" a="1"/>
  <c r="O99" i="100" s="1"/>
  <c r="N99" i="100" a="1"/>
  <c r="N99" i="100" s="1"/>
  <c r="M99" i="100" a="1"/>
  <c r="M99" i="100" s="1"/>
  <c r="L99" i="100" a="1"/>
  <c r="L99" i="100" s="1"/>
  <c r="K99" i="100" a="1"/>
  <c r="K99" i="100" s="1"/>
  <c r="J99" i="100" a="1"/>
  <c r="J99" i="100" s="1"/>
  <c r="I99" i="100" a="1"/>
  <c r="I99" i="100" s="1"/>
  <c r="H99" i="100" a="1"/>
  <c r="H99" i="100" s="1"/>
  <c r="G99" i="100" a="1"/>
  <c r="G99" i="100" s="1"/>
  <c r="F99" i="100" a="1"/>
  <c r="F99" i="100" s="1"/>
  <c r="E99" i="100" a="1"/>
  <c r="E99" i="100" s="1"/>
  <c r="D99" i="100" a="1"/>
  <c r="D99" i="100" s="1"/>
  <c r="AH98" i="100" a="1"/>
  <c r="AH98" i="100" s="1"/>
  <c r="AG98" i="100" a="1"/>
  <c r="AG98" i="100" s="1"/>
  <c r="AF98" i="100" a="1"/>
  <c r="AF98" i="100" s="1"/>
  <c r="AE98" i="100" a="1"/>
  <c r="AE98" i="100" s="1"/>
  <c r="AD98" i="100" a="1"/>
  <c r="AD98" i="100" s="1"/>
  <c r="AC98" i="100" a="1"/>
  <c r="AC98" i="100" s="1"/>
  <c r="AB98" i="100" a="1"/>
  <c r="AB98" i="100" s="1"/>
  <c r="AA98" i="100" a="1"/>
  <c r="AA98" i="100" s="1"/>
  <c r="Z98" i="100" a="1"/>
  <c r="Z98" i="100" s="1"/>
  <c r="Y98" i="100" a="1"/>
  <c r="Y98" i="100" s="1"/>
  <c r="X98" i="100" a="1"/>
  <c r="X98" i="100" s="1"/>
  <c r="W98" i="100" a="1"/>
  <c r="W98" i="100" s="1"/>
  <c r="V98" i="100" a="1"/>
  <c r="V98" i="100" s="1"/>
  <c r="U98" i="100" a="1"/>
  <c r="U98" i="100" s="1"/>
  <c r="T98" i="100" a="1"/>
  <c r="T98" i="100" s="1"/>
  <c r="S98" i="100" a="1"/>
  <c r="S98" i="100" s="1"/>
  <c r="R98" i="100" a="1"/>
  <c r="R98" i="100" s="1"/>
  <c r="Q98" i="100" a="1"/>
  <c r="Q98" i="100" s="1"/>
  <c r="P98" i="100" a="1"/>
  <c r="P98" i="100" s="1"/>
  <c r="O98" i="100" a="1"/>
  <c r="O98" i="100" s="1"/>
  <c r="N98" i="100" a="1"/>
  <c r="N98" i="100" s="1"/>
  <c r="M98" i="100" a="1"/>
  <c r="M98" i="100" s="1"/>
  <c r="L98" i="100" a="1"/>
  <c r="L98" i="100" s="1"/>
  <c r="K98" i="100" a="1"/>
  <c r="K98" i="100" s="1"/>
  <c r="J98" i="100" a="1"/>
  <c r="J98" i="100" s="1"/>
  <c r="I98" i="100" a="1"/>
  <c r="I98" i="100" s="1"/>
  <c r="H98" i="100" a="1"/>
  <c r="H98" i="100" s="1"/>
  <c r="G98" i="100" a="1"/>
  <c r="G98" i="100" s="1"/>
  <c r="F98" i="100" a="1"/>
  <c r="F98" i="100" s="1"/>
  <c r="E98" i="100" a="1"/>
  <c r="E98" i="100" s="1"/>
  <c r="D98" i="100" a="1"/>
  <c r="D98" i="100" s="1"/>
  <c r="AH97" i="100" a="1"/>
  <c r="AH97" i="100" s="1"/>
  <c r="AG97" i="100" a="1"/>
  <c r="AG97" i="100" s="1"/>
  <c r="AF97" i="100" a="1"/>
  <c r="AF97" i="100" s="1"/>
  <c r="AE97" i="100" a="1"/>
  <c r="AE97" i="100" s="1"/>
  <c r="AD97" i="100" a="1"/>
  <c r="AD97" i="100" s="1"/>
  <c r="AC97" i="100" a="1"/>
  <c r="AC97" i="100" s="1"/>
  <c r="AB97" i="100" a="1"/>
  <c r="AB97" i="100" s="1"/>
  <c r="AA97" i="100" a="1"/>
  <c r="AA97" i="100" s="1"/>
  <c r="Z97" i="100" a="1"/>
  <c r="Z97" i="100" s="1"/>
  <c r="Y97" i="100" a="1"/>
  <c r="Y97" i="100" s="1"/>
  <c r="X97" i="100" a="1"/>
  <c r="X97" i="100" s="1"/>
  <c r="W97" i="100" a="1"/>
  <c r="W97" i="100" s="1"/>
  <c r="V97" i="100" a="1"/>
  <c r="V97" i="100" s="1"/>
  <c r="U97" i="100" a="1"/>
  <c r="U97" i="100" s="1"/>
  <c r="T97" i="100" a="1"/>
  <c r="T97" i="100" s="1"/>
  <c r="S97" i="100" a="1"/>
  <c r="S97" i="100" s="1"/>
  <c r="R97" i="100" a="1"/>
  <c r="R97" i="100" s="1"/>
  <c r="Q97" i="100" a="1"/>
  <c r="Q97" i="100" s="1"/>
  <c r="P97" i="100" a="1"/>
  <c r="P97" i="100" s="1"/>
  <c r="O97" i="100" a="1"/>
  <c r="O97" i="100" s="1"/>
  <c r="N97" i="100" a="1"/>
  <c r="N97" i="100" s="1"/>
  <c r="M97" i="100" a="1"/>
  <c r="M97" i="100" s="1"/>
  <c r="L97" i="100" a="1"/>
  <c r="L97" i="100" s="1"/>
  <c r="K97" i="100" a="1"/>
  <c r="K97" i="100" s="1"/>
  <c r="J97" i="100" a="1"/>
  <c r="J97" i="100" s="1"/>
  <c r="I97" i="100" a="1"/>
  <c r="I97" i="100" s="1"/>
  <c r="H97" i="100" a="1"/>
  <c r="H97" i="100" s="1"/>
  <c r="G97" i="100" a="1"/>
  <c r="G97" i="100" s="1"/>
  <c r="F97" i="100" a="1"/>
  <c r="F97" i="100" s="1"/>
  <c r="E97" i="100" a="1"/>
  <c r="E97" i="100" s="1"/>
  <c r="D97" i="100" a="1"/>
  <c r="D97" i="100" s="1"/>
  <c r="AH96" i="100" a="1"/>
  <c r="AH96" i="100" s="1"/>
  <c r="AG96" i="100" a="1"/>
  <c r="AG96" i="100" s="1"/>
  <c r="AF96" i="100" a="1"/>
  <c r="AF96" i="100" s="1"/>
  <c r="AE96" i="100" a="1"/>
  <c r="AE96" i="100" s="1"/>
  <c r="AD96" i="100" a="1"/>
  <c r="AD96" i="100" s="1"/>
  <c r="AC96" i="100" a="1"/>
  <c r="AC96" i="100" s="1"/>
  <c r="AB96" i="100" a="1"/>
  <c r="AB96" i="100" s="1"/>
  <c r="AA96" i="100" a="1"/>
  <c r="AA96" i="100" s="1"/>
  <c r="Z96" i="100" a="1"/>
  <c r="Z96" i="100" s="1"/>
  <c r="Y96" i="100" a="1"/>
  <c r="Y96" i="100" s="1"/>
  <c r="X96" i="100" a="1"/>
  <c r="X96" i="100" s="1"/>
  <c r="W96" i="100" a="1"/>
  <c r="W96" i="100" s="1"/>
  <c r="V96" i="100" a="1"/>
  <c r="V96" i="100" s="1"/>
  <c r="U96" i="100" a="1"/>
  <c r="U96" i="100" s="1"/>
  <c r="T96" i="100" a="1"/>
  <c r="T96" i="100" s="1"/>
  <c r="S96" i="100" a="1"/>
  <c r="S96" i="100" s="1"/>
  <c r="R96" i="100" a="1"/>
  <c r="R96" i="100" s="1"/>
  <c r="Q96" i="100" a="1"/>
  <c r="Q96" i="100" s="1"/>
  <c r="P96" i="100" a="1"/>
  <c r="P96" i="100" s="1"/>
  <c r="O96" i="100" a="1"/>
  <c r="O96" i="100" s="1"/>
  <c r="N96" i="100" a="1"/>
  <c r="N96" i="100" s="1"/>
  <c r="M96" i="100" a="1"/>
  <c r="M96" i="100" s="1"/>
  <c r="L96" i="100" a="1"/>
  <c r="L96" i="100" s="1"/>
  <c r="K96" i="100" a="1"/>
  <c r="K96" i="100" s="1"/>
  <c r="J96" i="100" a="1"/>
  <c r="J96" i="100" s="1"/>
  <c r="I96" i="100" a="1"/>
  <c r="I96" i="100" s="1"/>
  <c r="H96" i="100" a="1"/>
  <c r="H96" i="100" s="1"/>
  <c r="G96" i="100" a="1"/>
  <c r="G96" i="100" s="1"/>
  <c r="F96" i="100" a="1"/>
  <c r="F96" i="100" s="1"/>
  <c r="E96" i="100" a="1"/>
  <c r="E96" i="100" s="1"/>
  <c r="D96" i="100" a="1"/>
  <c r="D96" i="100" s="1"/>
  <c r="AH95" i="100" a="1"/>
  <c r="AH95" i="100" s="1"/>
  <c r="AG95" i="100" a="1"/>
  <c r="AG95" i="100" s="1"/>
  <c r="AF95" i="100" a="1"/>
  <c r="AF95" i="100" s="1"/>
  <c r="AE95" i="100" a="1"/>
  <c r="AE95" i="100" s="1"/>
  <c r="AD95" i="100" a="1"/>
  <c r="AD95" i="100" s="1"/>
  <c r="AC95" i="100" a="1"/>
  <c r="AC95" i="100" s="1"/>
  <c r="AB95" i="100" a="1"/>
  <c r="AB95" i="100" s="1"/>
  <c r="AA95" i="100" a="1"/>
  <c r="AA95" i="100" s="1"/>
  <c r="Z95" i="100" a="1"/>
  <c r="Z95" i="100" s="1"/>
  <c r="Y95" i="100" a="1"/>
  <c r="Y95" i="100" s="1"/>
  <c r="X95" i="100" a="1"/>
  <c r="X95" i="100" s="1"/>
  <c r="W95" i="100" a="1"/>
  <c r="W95" i="100" s="1"/>
  <c r="V95" i="100" a="1"/>
  <c r="V95" i="100" s="1"/>
  <c r="U95" i="100" a="1"/>
  <c r="U95" i="100" s="1"/>
  <c r="T95" i="100" a="1"/>
  <c r="T95" i="100" s="1"/>
  <c r="S95" i="100" a="1"/>
  <c r="S95" i="100" s="1"/>
  <c r="R95" i="100" a="1"/>
  <c r="R95" i="100" s="1"/>
  <c r="Q95" i="100" a="1"/>
  <c r="Q95" i="100" s="1"/>
  <c r="P95" i="100" a="1"/>
  <c r="P95" i="100" s="1"/>
  <c r="O95" i="100" a="1"/>
  <c r="O95" i="100" s="1"/>
  <c r="N95" i="100" a="1"/>
  <c r="N95" i="100" s="1"/>
  <c r="M95" i="100" a="1"/>
  <c r="M95" i="100" s="1"/>
  <c r="L95" i="100" a="1"/>
  <c r="L95" i="100" s="1"/>
  <c r="K95" i="100" a="1"/>
  <c r="K95" i="100" s="1"/>
  <c r="J95" i="100" a="1"/>
  <c r="J95" i="100" s="1"/>
  <c r="I95" i="100" a="1"/>
  <c r="I95" i="100" s="1"/>
  <c r="H95" i="100" a="1"/>
  <c r="H95" i="100" s="1"/>
  <c r="G95" i="100" a="1"/>
  <c r="G95" i="100" s="1"/>
  <c r="F95" i="100" a="1"/>
  <c r="F95" i="100" s="1"/>
  <c r="E95" i="100" a="1"/>
  <c r="E95" i="100" s="1"/>
  <c r="D95" i="100" a="1"/>
  <c r="D95" i="100" s="1"/>
  <c r="AH94" i="100" a="1"/>
  <c r="AH94" i="100" s="1"/>
  <c r="AG94" i="100" a="1"/>
  <c r="AG94" i="100" s="1"/>
  <c r="AF94" i="100" a="1"/>
  <c r="AF94" i="100" s="1"/>
  <c r="AE94" i="100" a="1"/>
  <c r="AE94" i="100" s="1"/>
  <c r="AD94" i="100" a="1"/>
  <c r="AD94" i="100" s="1"/>
  <c r="AC94" i="100" a="1"/>
  <c r="AC94" i="100" s="1"/>
  <c r="AB94" i="100" a="1"/>
  <c r="AB94" i="100" s="1"/>
  <c r="AA94" i="100" a="1"/>
  <c r="AA94" i="100" s="1"/>
  <c r="Z94" i="100" a="1"/>
  <c r="Z94" i="100" s="1"/>
  <c r="Y94" i="100" a="1"/>
  <c r="Y94" i="100" s="1"/>
  <c r="X94" i="100" a="1"/>
  <c r="X94" i="100" s="1"/>
  <c r="W94" i="100" a="1"/>
  <c r="W94" i="100" s="1"/>
  <c r="V94" i="100" a="1"/>
  <c r="V94" i="100" s="1"/>
  <c r="U94" i="100" a="1"/>
  <c r="U94" i="100" s="1"/>
  <c r="T94" i="100" a="1"/>
  <c r="T94" i="100" s="1"/>
  <c r="S94" i="100" a="1"/>
  <c r="S94" i="100" s="1"/>
  <c r="R94" i="100" a="1"/>
  <c r="R94" i="100" s="1"/>
  <c r="Q94" i="100" a="1"/>
  <c r="Q94" i="100" s="1"/>
  <c r="P94" i="100" a="1"/>
  <c r="P94" i="100" s="1"/>
  <c r="O94" i="100" a="1"/>
  <c r="O94" i="100" s="1"/>
  <c r="N94" i="100" a="1"/>
  <c r="N94" i="100" s="1"/>
  <c r="M94" i="100" a="1"/>
  <c r="M94" i="100" s="1"/>
  <c r="L94" i="100" a="1"/>
  <c r="L94" i="100" s="1"/>
  <c r="K94" i="100" a="1"/>
  <c r="K94" i="100" s="1"/>
  <c r="J94" i="100" a="1"/>
  <c r="J94" i="100" s="1"/>
  <c r="I94" i="100" a="1"/>
  <c r="I94" i="100" s="1"/>
  <c r="H94" i="100" a="1"/>
  <c r="H94" i="100" s="1"/>
  <c r="G94" i="100" a="1"/>
  <c r="G94" i="100" s="1"/>
  <c r="F94" i="100" a="1"/>
  <c r="F94" i="100" s="1"/>
  <c r="E94" i="100" a="1"/>
  <c r="E94" i="100" s="1"/>
  <c r="D94" i="100" a="1"/>
  <c r="D94" i="100" s="1"/>
  <c r="AH93" i="100" a="1"/>
  <c r="AH93" i="100" s="1"/>
  <c r="AG93" i="100" a="1"/>
  <c r="AG93" i="100" s="1"/>
  <c r="AF93" i="100" a="1"/>
  <c r="AF93" i="100" s="1"/>
  <c r="AE93" i="100" a="1"/>
  <c r="AE93" i="100" s="1"/>
  <c r="AD93" i="100" a="1"/>
  <c r="AD93" i="100" s="1"/>
  <c r="AC93" i="100" a="1"/>
  <c r="AC93" i="100" s="1"/>
  <c r="AB93" i="100" a="1"/>
  <c r="AB93" i="100" s="1"/>
  <c r="AA93" i="100" a="1"/>
  <c r="AA93" i="100" s="1"/>
  <c r="Z93" i="100" a="1"/>
  <c r="Z93" i="100" s="1"/>
  <c r="Y93" i="100" a="1"/>
  <c r="Y93" i="100" s="1"/>
  <c r="X93" i="100" a="1"/>
  <c r="X93" i="100" s="1"/>
  <c r="W93" i="100" a="1"/>
  <c r="W93" i="100" s="1"/>
  <c r="V93" i="100" a="1"/>
  <c r="V93" i="100" s="1"/>
  <c r="U93" i="100" a="1"/>
  <c r="U93" i="100" s="1"/>
  <c r="T93" i="100" a="1"/>
  <c r="T93" i="100" s="1"/>
  <c r="S93" i="100" a="1"/>
  <c r="S93" i="100" s="1"/>
  <c r="R93" i="100" a="1"/>
  <c r="R93" i="100" s="1"/>
  <c r="Q93" i="100" a="1"/>
  <c r="Q93" i="100" s="1"/>
  <c r="P93" i="100" a="1"/>
  <c r="P93" i="100" s="1"/>
  <c r="O93" i="100" a="1"/>
  <c r="O93" i="100" s="1"/>
  <c r="N93" i="100" a="1"/>
  <c r="N93" i="100" s="1"/>
  <c r="M93" i="100" a="1"/>
  <c r="M93" i="100" s="1"/>
  <c r="L93" i="100" a="1"/>
  <c r="L93" i="100" s="1"/>
  <c r="K93" i="100" a="1"/>
  <c r="K93" i="100" s="1"/>
  <c r="J93" i="100" a="1"/>
  <c r="J93" i="100" s="1"/>
  <c r="I93" i="100" a="1"/>
  <c r="I93" i="100" s="1"/>
  <c r="H93" i="100" a="1"/>
  <c r="H93" i="100" s="1"/>
  <c r="G93" i="100" a="1"/>
  <c r="G93" i="100" s="1"/>
  <c r="F93" i="100" a="1"/>
  <c r="F93" i="100" s="1"/>
  <c r="E93" i="100" a="1"/>
  <c r="E93" i="100" s="1"/>
  <c r="D93" i="100" a="1"/>
  <c r="D93" i="100" s="1"/>
  <c r="AH92" i="100" a="1"/>
  <c r="AH92" i="100" s="1"/>
  <c r="AG92" i="100" a="1"/>
  <c r="AG92" i="100" s="1"/>
  <c r="AF92" i="100" a="1"/>
  <c r="AF92" i="100" s="1"/>
  <c r="AE92" i="100" a="1"/>
  <c r="AE92" i="100" s="1"/>
  <c r="AD92" i="100" a="1"/>
  <c r="AD92" i="100" s="1"/>
  <c r="AC92" i="100" a="1"/>
  <c r="AC92" i="100" s="1"/>
  <c r="AB92" i="100" a="1"/>
  <c r="AB92" i="100" s="1"/>
  <c r="AA92" i="100" a="1"/>
  <c r="AA92" i="100" s="1"/>
  <c r="Z92" i="100" a="1"/>
  <c r="Z92" i="100" s="1"/>
  <c r="Y92" i="100" a="1"/>
  <c r="Y92" i="100" s="1"/>
  <c r="X92" i="100" a="1"/>
  <c r="X92" i="100" s="1"/>
  <c r="W92" i="100" a="1"/>
  <c r="W92" i="100" s="1"/>
  <c r="V92" i="100" a="1"/>
  <c r="V92" i="100" s="1"/>
  <c r="U92" i="100" a="1"/>
  <c r="U92" i="100" s="1"/>
  <c r="T92" i="100" a="1"/>
  <c r="T92" i="100" s="1"/>
  <c r="S92" i="100" a="1"/>
  <c r="S92" i="100" s="1"/>
  <c r="R92" i="100" a="1"/>
  <c r="R92" i="100" s="1"/>
  <c r="Q92" i="100" a="1"/>
  <c r="Q92" i="100" s="1"/>
  <c r="P92" i="100" a="1"/>
  <c r="P92" i="100" s="1"/>
  <c r="O92" i="100" a="1"/>
  <c r="O92" i="100" s="1"/>
  <c r="N92" i="100" a="1"/>
  <c r="N92" i="100" s="1"/>
  <c r="M92" i="100" a="1"/>
  <c r="M92" i="100" s="1"/>
  <c r="L92" i="100" a="1"/>
  <c r="L92" i="100" s="1"/>
  <c r="K92" i="100" a="1"/>
  <c r="K92" i="100" s="1"/>
  <c r="J92" i="100" a="1"/>
  <c r="J92" i="100" s="1"/>
  <c r="I92" i="100" a="1"/>
  <c r="I92" i="100" s="1"/>
  <c r="H92" i="100" a="1"/>
  <c r="H92" i="100" s="1"/>
  <c r="G92" i="100" a="1"/>
  <c r="G92" i="100" s="1"/>
  <c r="F92" i="100" a="1"/>
  <c r="F92" i="100" s="1"/>
  <c r="E92" i="100" a="1"/>
  <c r="E92" i="100" s="1"/>
  <c r="D92" i="100" a="1"/>
  <c r="D92" i="100" s="1"/>
  <c r="AH91" i="100" a="1"/>
  <c r="AH91" i="100" s="1"/>
  <c r="AG91" i="100" a="1"/>
  <c r="AG91" i="100" s="1"/>
  <c r="AF91" i="100" a="1"/>
  <c r="AF91" i="100" s="1"/>
  <c r="AE91" i="100" a="1"/>
  <c r="AE91" i="100" s="1"/>
  <c r="AD91" i="100" a="1"/>
  <c r="AD91" i="100" s="1"/>
  <c r="AC91" i="100" a="1"/>
  <c r="AC91" i="100" s="1"/>
  <c r="AB91" i="100" a="1"/>
  <c r="AB91" i="100" s="1"/>
  <c r="AA91" i="100" a="1"/>
  <c r="AA91" i="100" s="1"/>
  <c r="Z91" i="100" a="1"/>
  <c r="Z91" i="100" s="1"/>
  <c r="Y91" i="100" a="1"/>
  <c r="Y91" i="100" s="1"/>
  <c r="X91" i="100" a="1"/>
  <c r="X91" i="100" s="1"/>
  <c r="W91" i="100" a="1"/>
  <c r="W91" i="100" s="1"/>
  <c r="V91" i="100" a="1"/>
  <c r="V91" i="100" s="1"/>
  <c r="U91" i="100" a="1"/>
  <c r="U91" i="100" s="1"/>
  <c r="T91" i="100" a="1"/>
  <c r="T91" i="100" s="1"/>
  <c r="S91" i="100" a="1"/>
  <c r="S91" i="100" s="1"/>
  <c r="R91" i="100" a="1"/>
  <c r="R91" i="100" s="1"/>
  <c r="Q91" i="100" a="1"/>
  <c r="Q91" i="100" s="1"/>
  <c r="P91" i="100" a="1"/>
  <c r="P91" i="100" s="1"/>
  <c r="O91" i="100" a="1"/>
  <c r="O91" i="100" s="1"/>
  <c r="N91" i="100" a="1"/>
  <c r="N91" i="100" s="1"/>
  <c r="M91" i="100" a="1"/>
  <c r="M91" i="100" s="1"/>
  <c r="L91" i="100" a="1"/>
  <c r="L91" i="100" s="1"/>
  <c r="K91" i="100" a="1"/>
  <c r="K91" i="100" s="1"/>
  <c r="J91" i="100" a="1"/>
  <c r="J91" i="100" s="1"/>
  <c r="I91" i="100" a="1"/>
  <c r="I91" i="100" s="1"/>
  <c r="H91" i="100" a="1"/>
  <c r="H91" i="100" s="1"/>
  <c r="G91" i="100" a="1"/>
  <c r="G91" i="100" s="1"/>
  <c r="F91" i="100" a="1"/>
  <c r="F91" i="100" s="1"/>
  <c r="E91" i="100" a="1"/>
  <c r="E91" i="100" s="1"/>
  <c r="D91" i="100" a="1"/>
  <c r="D91" i="100" s="1"/>
  <c r="AH90" i="100" a="1"/>
  <c r="AH90" i="100" s="1"/>
  <c r="AG90" i="100" a="1"/>
  <c r="AG90" i="100" s="1"/>
  <c r="AF90" i="100" a="1"/>
  <c r="AF90" i="100" s="1"/>
  <c r="AE90" i="100" a="1"/>
  <c r="AE90" i="100" s="1"/>
  <c r="AD90" i="100" a="1"/>
  <c r="AD90" i="100" s="1"/>
  <c r="AC90" i="100" a="1"/>
  <c r="AC90" i="100" s="1"/>
  <c r="AB90" i="100" a="1"/>
  <c r="AB90" i="100" s="1"/>
  <c r="AA90" i="100" a="1"/>
  <c r="AA90" i="100" s="1"/>
  <c r="Z90" i="100" a="1"/>
  <c r="Z90" i="100" s="1"/>
  <c r="Y90" i="100" a="1"/>
  <c r="Y90" i="100" s="1"/>
  <c r="X90" i="100" a="1"/>
  <c r="X90" i="100" s="1"/>
  <c r="W90" i="100" a="1"/>
  <c r="W90" i="100" s="1"/>
  <c r="V90" i="100" a="1"/>
  <c r="V90" i="100" s="1"/>
  <c r="U90" i="100" a="1"/>
  <c r="U90" i="100" s="1"/>
  <c r="T90" i="100" a="1"/>
  <c r="T90" i="100" s="1"/>
  <c r="S90" i="100" a="1"/>
  <c r="S90" i="100" s="1"/>
  <c r="R90" i="100" a="1"/>
  <c r="R90" i="100" s="1"/>
  <c r="Q90" i="100" a="1"/>
  <c r="Q90" i="100" s="1"/>
  <c r="P90" i="100" a="1"/>
  <c r="P90" i="100" s="1"/>
  <c r="O90" i="100" a="1"/>
  <c r="O90" i="100" s="1"/>
  <c r="N90" i="100" a="1"/>
  <c r="N90" i="100" s="1"/>
  <c r="M90" i="100" a="1"/>
  <c r="M90" i="100" s="1"/>
  <c r="L90" i="100" a="1"/>
  <c r="L90" i="100" s="1"/>
  <c r="K90" i="100" a="1"/>
  <c r="K90" i="100" s="1"/>
  <c r="J90" i="100" a="1"/>
  <c r="J90" i="100" s="1"/>
  <c r="I90" i="100" a="1"/>
  <c r="I90" i="100" s="1"/>
  <c r="H90" i="100" a="1"/>
  <c r="H90" i="100" s="1"/>
  <c r="G90" i="100" a="1"/>
  <c r="G90" i="100" s="1"/>
  <c r="F90" i="100" a="1"/>
  <c r="F90" i="100" s="1"/>
  <c r="E90" i="100" a="1"/>
  <c r="E90" i="100" s="1"/>
  <c r="D90" i="100" a="1"/>
  <c r="D90" i="100" s="1"/>
  <c r="F83" i="100" a="1"/>
  <c r="F83" i="100" s="1"/>
  <c r="E83" i="100" a="1"/>
  <c r="E83" i="100" s="1"/>
  <c r="J91" i="99" s="1"/>
  <c r="D83" i="100" a="1"/>
  <c r="D83" i="100" s="1"/>
  <c r="D82" i="100" a="1"/>
  <c r="D82" i="100" s="1"/>
  <c r="D81" i="100" a="1"/>
  <c r="D81" i="100" s="1"/>
  <c r="F78" i="100" a="1"/>
  <c r="F78" i="100" s="1"/>
  <c r="E78" i="100" a="1"/>
  <c r="E78" i="100" s="1"/>
  <c r="I15" i="99" s="1"/>
  <c r="D78" i="100" a="1"/>
  <c r="D78" i="100" s="1"/>
  <c r="D77" i="100" a="1"/>
  <c r="D77" i="100" s="1"/>
  <c r="D76" i="100" a="1"/>
  <c r="D76" i="100" s="1"/>
  <c r="F73" i="100" a="1"/>
  <c r="F73" i="100" s="1"/>
  <c r="E73" i="100" a="1"/>
  <c r="E73" i="100" s="1"/>
  <c r="I97" i="98" s="1"/>
  <c r="F106" i="98" s="1" a="1"/>
  <c r="F106" i="98" s="1"/>
  <c r="E138" i="98" s="1"/>
  <c r="D73" i="100" a="1"/>
  <c r="D73" i="100" s="1"/>
  <c r="D72" i="100" a="1"/>
  <c r="D72" i="100" s="1"/>
  <c r="D71" i="100" a="1"/>
  <c r="D71" i="100" s="1"/>
  <c r="F68" i="100" a="1"/>
  <c r="F68" i="100" s="1"/>
  <c r="E68" i="100" a="1"/>
  <c r="E68" i="100" s="1"/>
  <c r="D68" i="100" a="1"/>
  <c r="D68" i="100" s="1"/>
  <c r="F67" i="100" a="1"/>
  <c r="F67" i="100" s="1"/>
  <c r="E67" i="100" a="1"/>
  <c r="E67" i="100" s="1"/>
  <c r="D67" i="100" a="1"/>
  <c r="D67" i="100" s="1"/>
  <c r="F66" i="100" a="1"/>
  <c r="F66" i="100" s="1"/>
  <c r="E66" i="100" a="1"/>
  <c r="E66" i="100" s="1"/>
  <c r="D66" i="100" a="1"/>
  <c r="D66" i="100" s="1"/>
  <c r="D64" i="100" a="1"/>
  <c r="D64" i="100" s="1"/>
  <c r="D63" i="100" a="1"/>
  <c r="D63" i="100" s="1"/>
  <c r="F60" i="100" a="1"/>
  <c r="F60" i="100" s="1"/>
  <c r="E60" i="100" a="1"/>
  <c r="E60" i="100" s="1"/>
  <c r="I50" i="95" s="1"/>
  <c r="D60" i="100" a="1"/>
  <c r="D60" i="100" s="1"/>
  <c r="D59" i="100" a="1"/>
  <c r="D59" i="100" s="1"/>
  <c r="D58" i="100" a="1"/>
  <c r="D58" i="100" s="1"/>
  <c r="E55" i="100" a="1"/>
  <c r="E55" i="100" s="1"/>
  <c r="D55" i="100" a="1"/>
  <c r="D55" i="100" s="1"/>
  <c r="E54" i="100" a="1"/>
  <c r="E54" i="100" s="1"/>
  <c r="D54" i="100" a="1"/>
  <c r="D54" i="100" s="1"/>
  <c r="E53" i="100" a="1"/>
  <c r="E53" i="100" s="1"/>
  <c r="D53" i="100" a="1"/>
  <c r="D53" i="100" s="1"/>
  <c r="E52" i="100" a="1"/>
  <c r="E52" i="100" s="1"/>
  <c r="D52" i="100" a="1"/>
  <c r="D52" i="100" s="1"/>
  <c r="E51" i="100" a="1"/>
  <c r="E51" i="100" s="1"/>
  <c r="D51" i="100" a="1"/>
  <c r="D51" i="100" s="1"/>
  <c r="D49" i="100" a="1"/>
  <c r="D49" i="100" s="1"/>
  <c r="D48" i="100" a="1"/>
  <c r="D48" i="100" s="1"/>
  <c r="I38" i="100" a="1"/>
  <c r="I38" i="100" s="1"/>
  <c r="H38" i="100" a="1"/>
  <c r="H38" i="100" s="1"/>
  <c r="G38" i="100" a="1"/>
  <c r="G38" i="100" s="1"/>
  <c r="F38" i="100" a="1"/>
  <c r="F38" i="100" s="1"/>
  <c r="E38" i="100" a="1"/>
  <c r="E38" i="100" s="1"/>
  <c r="D38" i="100" a="1"/>
  <c r="D38" i="100" s="1"/>
  <c r="I37" i="100" a="1"/>
  <c r="I37" i="100" s="1"/>
  <c r="H37" i="100" a="1"/>
  <c r="H37" i="100" s="1"/>
  <c r="G37" i="100" a="1"/>
  <c r="G37" i="100" s="1"/>
  <c r="F37" i="100" a="1"/>
  <c r="F37" i="100" s="1"/>
  <c r="E37" i="100" a="1"/>
  <c r="E37" i="100" s="1"/>
  <c r="D37" i="100" a="1"/>
  <c r="D37" i="100" s="1"/>
  <c r="I36" i="100" a="1"/>
  <c r="I36" i="100" s="1"/>
  <c r="H36" i="100" a="1"/>
  <c r="H36" i="100" s="1"/>
  <c r="G36" i="100" a="1"/>
  <c r="G36" i="100" s="1"/>
  <c r="F36" i="100" a="1"/>
  <c r="F36" i="100" s="1"/>
  <c r="E36" i="100" a="1"/>
  <c r="E36" i="100" s="1"/>
  <c r="D36" i="100" a="1"/>
  <c r="D36" i="100" s="1"/>
  <c r="I35" i="100" a="1"/>
  <c r="I35" i="100" s="1"/>
  <c r="H35" i="100" a="1"/>
  <c r="H35" i="100" s="1"/>
  <c r="G35" i="100" a="1"/>
  <c r="G35" i="100" s="1"/>
  <c r="F35" i="100" a="1"/>
  <c r="F35" i="100" s="1"/>
  <c r="E35" i="100" a="1"/>
  <c r="E35" i="100" s="1"/>
  <c r="D35" i="100" a="1"/>
  <c r="D35" i="100" s="1"/>
  <c r="I34" i="100" a="1"/>
  <c r="I34" i="100" s="1"/>
  <c r="H34" i="100" a="1"/>
  <c r="H34" i="100" s="1"/>
  <c r="G34" i="100" a="1"/>
  <c r="G34" i="100" s="1"/>
  <c r="F34" i="100" a="1"/>
  <c r="F34" i="100" s="1"/>
  <c r="E34" i="100" a="1"/>
  <c r="E34" i="100" s="1"/>
  <c r="D34" i="100" a="1"/>
  <c r="D34" i="100" s="1"/>
  <c r="I33" i="100" a="1"/>
  <c r="I33" i="100" s="1"/>
  <c r="H33" i="100" a="1"/>
  <c r="H33" i="100" s="1"/>
  <c r="G33" i="100" a="1"/>
  <c r="G33" i="100" s="1"/>
  <c r="F33" i="100" a="1"/>
  <c r="F33" i="100" s="1"/>
  <c r="E33" i="100" a="1"/>
  <c r="E33" i="100" s="1"/>
  <c r="D33" i="100" a="1"/>
  <c r="D33" i="100" s="1"/>
  <c r="I32" i="100" a="1"/>
  <c r="I32" i="100" s="1"/>
  <c r="H32" i="100" a="1"/>
  <c r="H32" i="100" s="1"/>
  <c r="G32" i="100" a="1"/>
  <c r="G32" i="100" s="1"/>
  <c r="F32" i="100" a="1"/>
  <c r="F32" i="100" s="1"/>
  <c r="E32" i="100" a="1"/>
  <c r="E32" i="100" s="1"/>
  <c r="D32" i="100" a="1"/>
  <c r="D32" i="100" s="1"/>
  <c r="I31" i="100" a="1"/>
  <c r="I31" i="100" s="1"/>
  <c r="H31" i="100" a="1"/>
  <c r="H31" i="100" s="1"/>
  <c r="G31" i="100" a="1"/>
  <c r="G31" i="100" s="1"/>
  <c r="F31" i="100" a="1"/>
  <c r="F31" i="100" s="1"/>
  <c r="E31" i="100" a="1"/>
  <c r="E31" i="100" s="1"/>
  <c r="D31" i="100" a="1"/>
  <c r="D31" i="100" s="1"/>
  <c r="I30" i="100" a="1"/>
  <c r="I30" i="100" s="1"/>
  <c r="H30" i="100" a="1"/>
  <c r="H30" i="100" s="1"/>
  <c r="G30" i="100" a="1"/>
  <c r="G30" i="100" s="1"/>
  <c r="F30" i="100" a="1"/>
  <c r="F30" i="100" s="1"/>
  <c r="E30" i="100" a="1"/>
  <c r="E30" i="100" s="1"/>
  <c r="D30" i="100" a="1"/>
  <c r="D30" i="100" s="1"/>
  <c r="I29" i="100" a="1"/>
  <c r="I29" i="100" s="1"/>
  <c r="H29" i="100" a="1"/>
  <c r="H29" i="100" s="1"/>
  <c r="G29" i="100" a="1"/>
  <c r="G29" i="100" s="1"/>
  <c r="F29" i="100" a="1"/>
  <c r="F29" i="100" s="1"/>
  <c r="E29" i="100" a="1"/>
  <c r="E29" i="100" s="1"/>
  <c r="D29" i="100" a="1"/>
  <c r="D29" i="100" s="1"/>
  <c r="R28" i="100" a="1"/>
  <c r="R28" i="100" s="1"/>
  <c r="Q28" i="100" a="1"/>
  <c r="Q28" i="100" s="1"/>
  <c r="L28" i="100" a="1"/>
  <c r="L28" i="100" s="1"/>
  <c r="K28" i="100" a="1"/>
  <c r="K28" i="100" s="1"/>
  <c r="I28" i="100" a="1"/>
  <c r="I28" i="100" s="1"/>
  <c r="H28" i="100" a="1"/>
  <c r="H28" i="100" s="1"/>
  <c r="G28" i="100" a="1"/>
  <c r="G28" i="100" s="1"/>
  <c r="F28" i="100" a="1"/>
  <c r="F28" i="100" s="1"/>
  <c r="E28" i="100" a="1"/>
  <c r="E28" i="100" s="1"/>
  <c r="D28" i="100" a="1"/>
  <c r="D28" i="100" s="1"/>
  <c r="R27" i="100" a="1"/>
  <c r="R27" i="100" s="1"/>
  <c r="Q27" i="100" a="1"/>
  <c r="Q27" i="100" s="1"/>
  <c r="L27" i="100" a="1"/>
  <c r="L27" i="100" s="1"/>
  <c r="K27" i="100" a="1"/>
  <c r="K27" i="100" s="1"/>
  <c r="I27" i="100" a="1"/>
  <c r="I27" i="100" s="1"/>
  <c r="H27" i="100" a="1"/>
  <c r="H27" i="100" s="1"/>
  <c r="G27" i="100" a="1"/>
  <c r="G27" i="100" s="1"/>
  <c r="F27" i="100" a="1"/>
  <c r="F27" i="100" s="1"/>
  <c r="E27" i="100" a="1"/>
  <c r="E27" i="100" s="1"/>
  <c r="D27" i="100" a="1"/>
  <c r="D27" i="100" s="1"/>
  <c r="R26" i="100" a="1"/>
  <c r="R26" i="100" s="1"/>
  <c r="Q26" i="100" a="1"/>
  <c r="Q26" i="100" s="1"/>
  <c r="L26" i="100" a="1"/>
  <c r="L26" i="100" s="1"/>
  <c r="K26" i="100" a="1"/>
  <c r="K26" i="100" s="1"/>
  <c r="I26" i="100" a="1"/>
  <c r="I26" i="100" s="1"/>
  <c r="H26" i="100" a="1"/>
  <c r="H26" i="100" s="1"/>
  <c r="G26" i="100" a="1"/>
  <c r="G26" i="100" s="1"/>
  <c r="F26" i="100" a="1"/>
  <c r="F26" i="100" s="1"/>
  <c r="E26" i="100" a="1"/>
  <c r="E26" i="100" s="1"/>
  <c r="D26" i="100" a="1"/>
  <c r="D26" i="100" s="1"/>
  <c r="R25" i="100" a="1"/>
  <c r="R25" i="100" s="1"/>
  <c r="Q25" i="100" a="1"/>
  <c r="Q25" i="100" s="1"/>
  <c r="L25" i="100" a="1"/>
  <c r="L25" i="100" s="1"/>
  <c r="K25" i="100" a="1"/>
  <c r="K25" i="100" s="1"/>
  <c r="I25" i="100" a="1"/>
  <c r="I25" i="100" s="1"/>
  <c r="H25" i="100" a="1"/>
  <c r="H25" i="100" s="1"/>
  <c r="G25" i="100" a="1"/>
  <c r="G25" i="100" s="1"/>
  <c r="F25" i="100" a="1"/>
  <c r="F25" i="100" s="1"/>
  <c r="E25" i="100" a="1"/>
  <c r="E25" i="100" s="1"/>
  <c r="D25" i="100" a="1"/>
  <c r="D25" i="100" s="1"/>
  <c r="R24" i="100" a="1"/>
  <c r="R24" i="100" s="1"/>
  <c r="Q24" i="100" a="1"/>
  <c r="Q24" i="100" s="1"/>
  <c r="L24" i="100" a="1"/>
  <c r="L24" i="100" s="1"/>
  <c r="K24" i="100" a="1"/>
  <c r="K24" i="100" s="1"/>
  <c r="I24" i="100" a="1"/>
  <c r="I24" i="100" s="1"/>
  <c r="H24" i="100" a="1"/>
  <c r="H24" i="100" s="1"/>
  <c r="G24" i="100" a="1"/>
  <c r="G24" i="100" s="1"/>
  <c r="F24" i="100" a="1"/>
  <c r="F24" i="100" s="1"/>
  <c r="E24" i="100" a="1"/>
  <c r="E24" i="100" s="1"/>
  <c r="D24" i="100" a="1"/>
  <c r="D24" i="100" s="1"/>
  <c r="V23" i="100" a="1"/>
  <c r="V23" i="100" s="1"/>
  <c r="R23" i="100" a="1"/>
  <c r="R23" i="100" s="1"/>
  <c r="Q23" i="100" a="1"/>
  <c r="Q23" i="100" s="1"/>
  <c r="L23" i="100" a="1"/>
  <c r="L23" i="100" s="1"/>
  <c r="K23" i="100" a="1"/>
  <c r="K23" i="100" s="1"/>
  <c r="I23" i="100" a="1"/>
  <c r="I23" i="100" s="1"/>
  <c r="H23" i="100" a="1"/>
  <c r="H23" i="100" s="1"/>
  <c r="G23" i="100" a="1"/>
  <c r="G23" i="100" s="1"/>
  <c r="F23" i="100" a="1"/>
  <c r="F23" i="100" s="1"/>
  <c r="E23" i="100" a="1"/>
  <c r="E23" i="100" s="1"/>
  <c r="D23" i="100" a="1"/>
  <c r="D23" i="100" s="1"/>
  <c r="V22" i="100" a="1"/>
  <c r="V22" i="100" s="1"/>
  <c r="R22" i="100" a="1"/>
  <c r="R22" i="100" s="1"/>
  <c r="Q22" i="100" a="1"/>
  <c r="Q22" i="100" s="1"/>
  <c r="L22" i="100" a="1"/>
  <c r="L22" i="100" s="1"/>
  <c r="K22" i="100" a="1"/>
  <c r="K22" i="100" s="1"/>
  <c r="I22" i="100" a="1"/>
  <c r="I22" i="100" s="1"/>
  <c r="H22" i="100" a="1"/>
  <c r="H22" i="100" s="1"/>
  <c r="G22" i="100" a="1"/>
  <c r="G22" i="100" s="1"/>
  <c r="F22" i="100" a="1"/>
  <c r="F22" i="100" s="1"/>
  <c r="E22" i="100" a="1"/>
  <c r="E22" i="100" s="1"/>
  <c r="D22" i="100" a="1"/>
  <c r="D22" i="100" s="1"/>
  <c r="V21" i="100" a="1"/>
  <c r="V21" i="100" s="1"/>
  <c r="R21" i="100" a="1"/>
  <c r="R21" i="100" s="1"/>
  <c r="Q21" i="100" a="1"/>
  <c r="Q21" i="100" s="1"/>
  <c r="L21" i="100" a="1"/>
  <c r="L21" i="100" s="1"/>
  <c r="K21" i="100" a="1"/>
  <c r="K21" i="100" s="1"/>
  <c r="I21" i="100" a="1"/>
  <c r="I21" i="100" s="1"/>
  <c r="H21" i="100" a="1"/>
  <c r="H21" i="100" s="1"/>
  <c r="G21" i="100" a="1"/>
  <c r="G21" i="100" s="1"/>
  <c r="F21" i="100" a="1"/>
  <c r="F21" i="100" s="1"/>
  <c r="E21" i="100" a="1"/>
  <c r="E21" i="100" s="1"/>
  <c r="D21" i="100" a="1"/>
  <c r="D21" i="100" s="1"/>
  <c r="V20" i="100" a="1"/>
  <c r="V20" i="100" s="1"/>
  <c r="R20" i="100" a="1"/>
  <c r="R20" i="100" s="1"/>
  <c r="Q20" i="100" a="1"/>
  <c r="Q20" i="100" s="1"/>
  <c r="L20" i="100" a="1"/>
  <c r="L20" i="100" s="1"/>
  <c r="K20" i="100" a="1"/>
  <c r="K20" i="100" s="1"/>
  <c r="I20" i="100" a="1"/>
  <c r="I20" i="100" s="1"/>
  <c r="H20" i="100" a="1"/>
  <c r="H20" i="100" s="1"/>
  <c r="G20" i="100" a="1"/>
  <c r="G20" i="100" s="1"/>
  <c r="F20" i="100" a="1"/>
  <c r="F20" i="100" s="1"/>
  <c r="E20" i="100" a="1"/>
  <c r="E20" i="100" s="1"/>
  <c r="D20" i="100" a="1"/>
  <c r="D20" i="100" s="1"/>
  <c r="V18" i="100" a="1"/>
  <c r="V18" i="100" s="1"/>
  <c r="Q18" i="100" a="1"/>
  <c r="Q18" i="100" s="1"/>
  <c r="K18" i="100" a="1"/>
  <c r="K18" i="100" s="1"/>
  <c r="V17" i="100" a="1"/>
  <c r="V17" i="100" s="1"/>
  <c r="Q17" i="100" a="1"/>
  <c r="Q17" i="100" s="1"/>
  <c r="K17" i="100" a="1"/>
  <c r="K17" i="100" s="1"/>
  <c r="D7" i="100" a="1"/>
  <c r="D7" i="100" s="1"/>
  <c r="D6" i="100" a="1"/>
  <c r="D6" i="100" s="1"/>
  <c r="D5" i="100" a="1"/>
  <c r="D5" i="100" s="1"/>
  <c r="F99" i="99" a="1"/>
  <c r="F99" i="99" s="1"/>
  <c r="D96" i="99" a="1"/>
  <c r="D96" i="99" s="1"/>
  <c r="H89" i="99" a="1"/>
  <c r="H89" i="99" s="1"/>
  <c r="D89" i="99" a="1"/>
  <c r="D89" i="99" s="1"/>
  <c r="E87" i="99" a="1"/>
  <c r="E87" i="99" s="1"/>
  <c r="F94" i="99" s="1"/>
  <c r="E86" i="99" a="1"/>
  <c r="E86" i="99" s="1"/>
  <c r="D82" i="99" a="1"/>
  <c r="D82" i="99" s="1"/>
  <c r="D81" i="99" a="1"/>
  <c r="D81" i="99" s="1"/>
  <c r="D67" i="99"/>
  <c r="D66" i="99"/>
  <c r="D65" i="99"/>
  <c r="I60" i="99"/>
  <c r="I59" i="99"/>
  <c r="I58" i="99"/>
  <c r="I55" i="99" a="1"/>
  <c r="I55" i="99" s="1"/>
  <c r="G55" i="99" a="1"/>
  <c r="G55" i="99" s="1"/>
  <c r="D55" i="99" a="1"/>
  <c r="D55" i="99" s="1"/>
  <c r="E53" i="99" a="1"/>
  <c r="E53" i="99" s="1"/>
  <c r="F77" i="99" s="1"/>
  <c r="E52" i="99" a="1"/>
  <c r="E52" i="99" s="1"/>
  <c r="D48" i="99" a="1"/>
  <c r="D48" i="99" s="1"/>
  <c r="D47" i="99" a="1"/>
  <c r="D47" i="99" s="1"/>
  <c r="I18" i="99"/>
  <c r="I17" i="99"/>
  <c r="I16" i="99"/>
  <c r="I13" i="99" a="1"/>
  <c r="I13" i="99" s="1"/>
  <c r="G13" i="99" a="1"/>
  <c r="G13" i="99" s="1"/>
  <c r="D13" i="99" a="1"/>
  <c r="D13" i="99" s="1"/>
  <c r="E11" i="99" a="1"/>
  <c r="E11" i="99" s="1"/>
  <c r="F43" i="99" s="1"/>
  <c r="E10" i="99" a="1"/>
  <c r="E10" i="99" s="1"/>
  <c r="D6" i="99" a="1"/>
  <c r="D6" i="99" s="1"/>
  <c r="D5" i="99" a="1"/>
  <c r="D5" i="99" s="1"/>
  <c r="F151" i="98" a="1"/>
  <c r="F151" i="98" s="1"/>
  <c r="D148" i="98" a="1"/>
  <c r="D148" i="98" s="1"/>
  <c r="I129" i="98"/>
  <c r="I128" i="98"/>
  <c r="I127" i="98"/>
  <c r="I124" i="98" a="1"/>
  <c r="I124" i="98" s="1"/>
  <c r="G124" i="98" a="1"/>
  <c r="G124" i="98" s="1"/>
  <c r="D124" i="98" a="1"/>
  <c r="D124" i="98" s="1"/>
  <c r="E122" i="98" a="1"/>
  <c r="E122" i="98" s="1"/>
  <c r="F146" i="98" s="1"/>
  <c r="E121" i="98" a="1"/>
  <c r="E121" i="98" s="1"/>
  <c r="D117" i="98" a="1"/>
  <c r="D117" i="98" s="1"/>
  <c r="D116" i="98" a="1"/>
  <c r="D116" i="98" s="1"/>
  <c r="I96" i="98" a="1"/>
  <c r="I96" i="98" s="1"/>
  <c r="G96" i="98" a="1"/>
  <c r="G96" i="98" s="1"/>
  <c r="D96" i="98" a="1"/>
  <c r="D96" i="98" s="1"/>
  <c r="E94" i="98" a="1"/>
  <c r="E94" i="98" s="1"/>
  <c r="G102" i="98" s="1"/>
  <c r="E93" i="98" a="1"/>
  <c r="E93" i="98" s="1"/>
  <c r="D89" i="98" a="1"/>
  <c r="D89" i="98" s="1"/>
  <c r="D88" i="98" a="1"/>
  <c r="D88" i="98" s="1"/>
  <c r="F84" i="98" a="1"/>
  <c r="F84" i="98" s="1"/>
  <c r="D81" i="98" a="1"/>
  <c r="D81" i="98" s="1"/>
  <c r="J54" i="98"/>
  <c r="J53" i="98"/>
  <c r="J52" i="98"/>
  <c r="J49" i="98" a="1"/>
  <c r="J49" i="98" s="1"/>
  <c r="H49" i="98" a="1"/>
  <c r="H49" i="98" s="1"/>
  <c r="D49" i="98" a="1"/>
  <c r="D49" i="98" s="1"/>
  <c r="E47" i="98" a="1"/>
  <c r="E47" i="98" s="1"/>
  <c r="F79" i="98" s="1"/>
  <c r="E46" i="98" a="1"/>
  <c r="E46" i="98" s="1"/>
  <c r="D42" i="98" a="1"/>
  <c r="D42" i="98" s="1"/>
  <c r="D41" i="98" a="1"/>
  <c r="D41" i="98" s="1"/>
  <c r="I14" i="98" a="1"/>
  <c r="I14" i="98" s="1"/>
  <c r="I13" i="98" a="1"/>
  <c r="I13" i="98" s="1"/>
  <c r="G13" i="98" a="1"/>
  <c r="G13" i="98" s="1"/>
  <c r="D13" i="98" a="1"/>
  <c r="D13" i="98" s="1"/>
  <c r="E11" i="98" a="1"/>
  <c r="E11" i="98" s="1"/>
  <c r="E10" i="98" a="1"/>
  <c r="E10" i="98" s="1"/>
  <c r="D6" i="98" a="1"/>
  <c r="D6" i="98" s="1"/>
  <c r="D5" i="98" a="1"/>
  <c r="D5" i="98" s="1"/>
  <c r="I17" i="97" a="1"/>
  <c r="I17" i="97" s="1"/>
  <c r="I14" i="97" a="1"/>
  <c r="I14" i="97" s="1"/>
  <c r="I13" i="97" a="1"/>
  <c r="I13" i="97" s="1"/>
  <c r="G13" i="97" a="1"/>
  <c r="G13" i="97" s="1"/>
  <c r="D13" i="97" a="1"/>
  <c r="D13" i="97" s="1"/>
  <c r="E11" i="97" a="1"/>
  <c r="E11" i="97" s="1"/>
  <c r="E10" i="97" a="1"/>
  <c r="E10" i="97" s="1"/>
  <c r="D6" i="97" a="1"/>
  <c r="D6" i="97" s="1"/>
  <c r="D5" i="97" a="1"/>
  <c r="D5" i="97" s="1"/>
  <c r="F55" i="96" a="1"/>
  <c r="F55" i="96" s="1"/>
  <c r="D52" i="96" a="1"/>
  <c r="D52" i="96" s="1"/>
  <c r="K48" i="96"/>
  <c r="K45" i="96" s="1"/>
  <c r="K47" i="96"/>
  <c r="I44" i="96" a="1"/>
  <c r="I44" i="96" s="1"/>
  <c r="D44" i="96" a="1"/>
  <c r="D44" i="96" s="1"/>
  <c r="E42" i="96" a="1"/>
  <c r="E42" i="96" s="1"/>
  <c r="F50" i="96" s="1"/>
  <c r="E41" i="96" a="1"/>
  <c r="E41" i="96" s="1"/>
  <c r="D37" i="96" a="1"/>
  <c r="D37" i="96" s="1"/>
  <c r="D36" i="96" a="1"/>
  <c r="D36" i="96" s="1"/>
  <c r="I30" i="96" a="1"/>
  <c r="I30" i="96" s="1"/>
  <c r="I29" i="96" a="1"/>
  <c r="I29" i="96" s="1"/>
  <c r="I28" i="96" a="1"/>
  <c r="I28" i="96" s="1"/>
  <c r="I27" i="96" a="1"/>
  <c r="I27" i="96" s="1"/>
  <c r="I26" i="96" a="1"/>
  <c r="I26" i="96" s="1"/>
  <c r="I25" i="96" a="1"/>
  <c r="I25" i="96" s="1"/>
  <c r="I24" i="96" a="1"/>
  <c r="I24" i="96" s="1"/>
  <c r="I23" i="96" a="1"/>
  <c r="I23" i="96" s="1"/>
  <c r="I15" i="96" a="1"/>
  <c r="I15" i="96" s="1"/>
  <c r="I14" i="96" a="1"/>
  <c r="I14" i="96" s="1"/>
  <c r="I13" i="96" a="1"/>
  <c r="I13" i="96" s="1"/>
  <c r="G13" i="96" a="1"/>
  <c r="G13" i="96" s="1"/>
  <c r="D13" i="96" a="1"/>
  <c r="D13" i="96" s="1"/>
  <c r="E11" i="96" a="1"/>
  <c r="E11" i="96" s="1"/>
  <c r="F32" i="96" s="1"/>
  <c r="E10" i="96" a="1"/>
  <c r="E10" i="96" s="1"/>
  <c r="D6" i="96" a="1"/>
  <c r="D6" i="96" s="1"/>
  <c r="D5" i="96" a="1"/>
  <c r="D5" i="96" s="1"/>
  <c r="I53" i="95" a="1"/>
  <c r="I53" i="95" s="1"/>
  <c r="I52" i="95"/>
  <c r="I49" i="95" a="1"/>
  <c r="I49" i="95" s="1"/>
  <c r="G49" i="95" a="1"/>
  <c r="G49" i="95" s="1"/>
  <c r="D49" i="95" a="1"/>
  <c r="D49" i="95" s="1"/>
  <c r="E47" i="95" a="1"/>
  <c r="E47" i="95" s="1"/>
  <c r="E46" i="95" a="1"/>
  <c r="E46" i="95" s="1"/>
  <c r="D42" i="95" a="1"/>
  <c r="D42" i="95" s="1"/>
  <c r="D41" i="95" a="1"/>
  <c r="D41" i="95" s="1"/>
  <c r="I14" i="95" a="1"/>
  <c r="I14" i="95" s="1"/>
  <c r="I13" i="95" a="1"/>
  <c r="I13" i="95" s="1"/>
  <c r="G13" i="95" a="1"/>
  <c r="G13" i="95" s="1"/>
  <c r="D13" i="95" a="1"/>
  <c r="D13" i="95" s="1"/>
  <c r="E11" i="95" a="1"/>
  <c r="E11" i="95" s="1"/>
  <c r="E10" i="95" a="1"/>
  <c r="E10" i="95" s="1"/>
  <c r="D6" i="95" a="1"/>
  <c r="D6" i="95" s="1"/>
  <c r="D5" i="95" a="1"/>
  <c r="D5" i="95" s="1"/>
  <c r="O115" i="94" a="1"/>
  <c r="O115" i="94" s="1"/>
  <c r="M112" i="94" a="1"/>
  <c r="M112" i="94" s="1"/>
  <c r="S99" i="94"/>
  <c r="S98" i="94"/>
  <c r="S96" i="94"/>
  <c r="N107" i="94" s="1"/>
  <c r="S95" i="94"/>
  <c r="Q92" i="94" a="1"/>
  <c r="Q92" i="94" s="1"/>
  <c r="M92" i="94" a="1"/>
  <c r="M92" i="94" s="1"/>
  <c r="N90" i="94" a="1"/>
  <c r="N90" i="94" s="1"/>
  <c r="N89" i="94" a="1"/>
  <c r="N89" i="94" s="1"/>
  <c r="F85" i="94" a="1"/>
  <c r="F85" i="94" s="1"/>
  <c r="M84" i="94" a="1"/>
  <c r="M84" i="94" s="1"/>
  <c r="M83" i="94" a="1"/>
  <c r="M83" i="94" s="1"/>
  <c r="D82" i="94" a="1"/>
  <c r="D82" i="94" s="1"/>
  <c r="P76" i="94" a="1"/>
  <c r="P76" i="94" s="1"/>
  <c r="M76" i="94" a="1"/>
  <c r="M76" i="94" s="1"/>
  <c r="N72" i="94" a="1"/>
  <c r="N72" i="94" s="1"/>
  <c r="O79" i="94" s="1"/>
  <c r="N71" i="94" a="1"/>
  <c r="N71" i="94" s="1"/>
  <c r="M67" i="94" a="1"/>
  <c r="M67" i="94" s="1"/>
  <c r="M66" i="94" a="1"/>
  <c r="M66" i="94" s="1"/>
  <c r="P60" i="94" a="1"/>
  <c r="P60" i="94" s="1"/>
  <c r="M60" i="94" a="1"/>
  <c r="M60" i="94" s="1"/>
  <c r="N58" i="94" a="1"/>
  <c r="N58" i="94" s="1"/>
  <c r="O63" i="94" s="1"/>
  <c r="N57" i="94" a="1"/>
  <c r="N57" i="94" s="1"/>
  <c r="I55" i="94"/>
  <c r="M54" i="94" a="1"/>
  <c r="M54" i="94" s="1"/>
  <c r="I54" i="94"/>
  <c r="M53" i="94" a="1"/>
  <c r="M53" i="94" s="1"/>
  <c r="I53" i="94"/>
  <c r="I52" i="94"/>
  <c r="I49" i="94" a="1"/>
  <c r="I49" i="94" s="1"/>
  <c r="G49" i="94" a="1"/>
  <c r="G49" i="94" s="1"/>
  <c r="D49" i="94" a="1"/>
  <c r="D49" i="94" s="1"/>
  <c r="E47" i="94" a="1"/>
  <c r="E47" i="94" s="1"/>
  <c r="F80" i="94" s="1"/>
  <c r="P46" i="94" a="1"/>
  <c r="P46" i="94" s="1"/>
  <c r="M46" i="94" a="1"/>
  <c r="M46" i="94" s="1"/>
  <c r="E46" i="94" a="1"/>
  <c r="E46" i="94" s="1"/>
  <c r="N44" i="94" a="1"/>
  <c r="N44" i="94" s="1"/>
  <c r="O49" i="94" s="1"/>
  <c r="N43" i="94" a="1"/>
  <c r="N43" i="94" s="1"/>
  <c r="D41" i="94" a="1"/>
  <c r="D41" i="94" s="1"/>
  <c r="M40" i="94" a="1"/>
  <c r="M40" i="94" s="1"/>
  <c r="D40" i="94" a="1"/>
  <c r="D40" i="94" s="1"/>
  <c r="M39" i="94" a="1"/>
  <c r="M39" i="94" s="1"/>
  <c r="I14" i="94" a="1"/>
  <c r="I14" i="94" s="1"/>
  <c r="I13" i="94" a="1"/>
  <c r="I13" i="94" s="1"/>
  <c r="G13" i="94" a="1"/>
  <c r="G13" i="94" s="1"/>
  <c r="D13" i="94" a="1"/>
  <c r="D13" i="94" s="1"/>
  <c r="E11" i="94" a="1"/>
  <c r="E11" i="94" s="1"/>
  <c r="E10" i="94" a="1"/>
  <c r="E10" i="94" s="1"/>
  <c r="D6" i="94" a="1"/>
  <c r="D6" i="94" s="1"/>
  <c r="D5" i="94" a="1"/>
  <c r="D5" i="94" s="1"/>
  <c r="H56" i="93"/>
  <c r="I56" i="93" s="1"/>
  <c r="G56" i="93"/>
  <c r="H55" i="93"/>
  <c r="I55" i="93" s="1"/>
  <c r="G55" i="93"/>
  <c r="H54" i="93"/>
  <c r="I54" i="93" s="1"/>
  <c r="G54" i="93"/>
  <c r="K44" i="93"/>
  <c r="F44" i="93"/>
  <c r="G44" i="93" s="1"/>
  <c r="K43" i="93"/>
  <c r="F43" i="93"/>
  <c r="G43" i="93" s="1"/>
  <c r="K42" i="93"/>
  <c r="F42" i="93"/>
  <c r="G42" i="93" s="1"/>
  <c r="E25" i="97" s="1" a="1"/>
  <c r="E25" i="97" s="1"/>
  <c r="F34" i="93"/>
  <c r="G34" i="93" s="1"/>
  <c r="F33" i="93"/>
  <c r="G33" i="93" s="1"/>
  <c r="F32" i="93"/>
  <c r="G32" i="93" s="1"/>
  <c r="F31" i="93"/>
  <c r="G31" i="93" s="1"/>
  <c r="F30" i="93"/>
  <c r="G30" i="93" s="1"/>
  <c r="F29" i="93"/>
  <c r="G29" i="93" s="1"/>
  <c r="F28" i="93"/>
  <c r="G28" i="93" s="1"/>
  <c r="F27" i="93"/>
  <c r="G27" i="93" s="1"/>
  <c r="F26" i="93"/>
  <c r="G26" i="93" s="1"/>
  <c r="F25" i="93"/>
  <c r="G25" i="93" s="1"/>
  <c r="E252" i="121" s="1" a="1"/>
  <c r="G21" i="93"/>
  <c r="G20" i="93"/>
  <c r="G19" i="93"/>
  <c r="G18" i="93"/>
  <c r="I18" i="93" s="1"/>
  <c r="G17" i="93"/>
  <c r="G16" i="93"/>
  <c r="I16" i="93" s="1"/>
  <c r="G15" i="93"/>
  <c r="G14" i="93"/>
  <c r="I14" i="93" s="1"/>
  <c r="G13" i="93"/>
  <c r="G12" i="93"/>
  <c r="A275" i="92"/>
  <c r="A217" i="92"/>
  <c r="O187" i="92" a="1"/>
  <c r="O187" i="92" s="1"/>
  <c r="F187" i="92" a="1"/>
  <c r="F187" i="92" s="1"/>
  <c r="M184" i="92" a="1"/>
  <c r="M184" i="92" s="1"/>
  <c r="D184" i="92" a="1"/>
  <c r="D184" i="92" s="1"/>
  <c r="A178" i="92"/>
  <c r="I155" i="92" a="1"/>
  <c r="I155" i="92" s="1"/>
  <c r="I154" i="92" a="1"/>
  <c r="I154" i="92" s="1"/>
  <c r="I153" i="92" a="1"/>
  <c r="I153" i="92" s="1"/>
  <c r="I152" i="92" a="1"/>
  <c r="I152" i="92" s="1"/>
  <c r="I151" i="92" a="1"/>
  <c r="I151" i="92" s="1"/>
  <c r="I150" i="92" a="1"/>
  <c r="I150" i="92" s="1"/>
  <c r="I149" i="92" a="1"/>
  <c r="I149" i="92" s="1"/>
  <c r="I148" i="92" a="1"/>
  <c r="I148" i="92" s="1"/>
  <c r="G148" i="92" a="1"/>
  <c r="F175" i="92" s="1"/>
  <c r="D148" i="92" a="1"/>
  <c r="D148" i="92" s="1"/>
  <c r="E146" i="92" a="1"/>
  <c r="E146" i="92" s="1"/>
  <c r="I180" i="92" s="1"/>
  <c r="E145" i="92" a="1"/>
  <c r="E145" i="92" s="1"/>
  <c r="D138" i="92" a="1"/>
  <c r="D138" i="92" s="1"/>
  <c r="D137" i="92" a="1"/>
  <c r="D137" i="92" s="1"/>
  <c r="D136" i="92" a="1"/>
  <c r="D136" i="92" s="1"/>
  <c r="H127" i="92" a="1"/>
  <c r="H127" i="92" s="1"/>
  <c r="D127" i="92" a="1"/>
  <c r="D127" i="92" s="1"/>
  <c r="E125" i="92" a="1"/>
  <c r="E125" i="92" s="1"/>
  <c r="E124" i="92" a="1"/>
  <c r="E124" i="92" s="1"/>
  <c r="D120" i="92" a="1"/>
  <c r="D120" i="92" s="1"/>
  <c r="D119" i="92" a="1"/>
  <c r="D119" i="92" s="1"/>
  <c r="I95" i="92" a="1"/>
  <c r="I95" i="92" s="1"/>
  <c r="I94" i="92" a="1"/>
  <c r="I94" i="92" s="1"/>
  <c r="I93" i="92" a="1"/>
  <c r="I93" i="92" s="1"/>
  <c r="I92" i="92" a="1"/>
  <c r="I92" i="92" s="1"/>
  <c r="G92" i="92" a="1"/>
  <c r="G92" i="92" s="1"/>
  <c r="D92" i="92" a="1"/>
  <c r="D92" i="92" s="1"/>
  <c r="E90" i="92" a="1"/>
  <c r="E90" i="92" s="1"/>
  <c r="E89" i="92" a="1"/>
  <c r="E89" i="92" s="1"/>
  <c r="D85" i="92" a="1"/>
  <c r="D85" i="92" s="1"/>
  <c r="D84" i="92" a="1"/>
  <c r="D84" i="92" s="1"/>
  <c r="I70" i="92" a="1"/>
  <c r="I70" i="92" s="1"/>
  <c r="I69" i="92"/>
  <c r="I68" i="92"/>
  <c r="I67" i="92"/>
  <c r="I66" i="92" a="1"/>
  <c r="I66" i="92" s="1"/>
  <c r="I65" i="92" a="1"/>
  <c r="I65" i="92" s="1"/>
  <c r="I64" i="92"/>
  <c r="D75" i="92" s="1"/>
  <c r="G64" i="92" a="1"/>
  <c r="G64" i="92" s="1"/>
  <c r="D64" i="92" a="1"/>
  <c r="D64" i="92" s="1"/>
  <c r="E62" i="92" a="1"/>
  <c r="E62" i="92" s="1"/>
  <c r="E61" i="92" a="1"/>
  <c r="E61" i="92" s="1"/>
  <c r="D56" i="92" a="1"/>
  <c r="D56" i="92" s="1"/>
  <c r="D55" i="92" a="1"/>
  <c r="D55" i="92" s="1"/>
  <c r="D54" i="92" a="1"/>
  <c r="D54" i="92" s="1"/>
  <c r="R40" i="92"/>
  <c r="I40" i="92"/>
  <c r="R39" i="92"/>
  <c r="I39" i="92"/>
  <c r="I38" i="92" a="1"/>
  <c r="I38" i="92" s="1"/>
  <c r="P37" i="92" a="1"/>
  <c r="P37" i="92" s="1"/>
  <c r="M37" i="92" a="1"/>
  <c r="M37" i="92" s="1"/>
  <c r="I37" i="92"/>
  <c r="D45" i="92" s="1"/>
  <c r="G37" i="92" a="1"/>
  <c r="G37" i="92" s="1"/>
  <c r="D37" i="92" a="1"/>
  <c r="D37" i="92" s="1"/>
  <c r="E35" i="92" a="1"/>
  <c r="E35" i="92" s="1"/>
  <c r="E34" i="92" a="1"/>
  <c r="E34" i="92" s="1"/>
  <c r="D30" i="92" a="1"/>
  <c r="D30" i="92" s="1"/>
  <c r="D29" i="92" a="1"/>
  <c r="D29" i="92" s="1"/>
  <c r="D28" i="92" a="1"/>
  <c r="D28" i="92" s="1"/>
  <c r="Q19" i="92"/>
  <c r="Q24" i="92" s="1" a="1"/>
  <c r="Q24" i="92" s="1"/>
  <c r="P19" i="92"/>
  <c r="P24" i="92" s="1" a="1"/>
  <c r="P24" i="92" s="1"/>
  <c r="O19" i="92"/>
  <c r="O24" i="92" s="1" a="1"/>
  <c r="O24" i="92" s="1"/>
  <c r="N19" i="92"/>
  <c r="N24" i="92" s="1" a="1"/>
  <c r="N24" i="92" s="1"/>
  <c r="M19" i="92"/>
  <c r="M24" i="92" s="1" a="1"/>
  <c r="M24" i="92" s="1"/>
  <c r="H19" i="92"/>
  <c r="H24" i="92" s="1" a="1"/>
  <c r="H24" i="92" s="1"/>
  <c r="G19" i="92"/>
  <c r="G24" i="92" s="1" a="1"/>
  <c r="G24" i="92" s="1"/>
  <c r="F19" i="92"/>
  <c r="F24" i="92" s="1" a="1"/>
  <c r="F24" i="92" s="1"/>
  <c r="E19" i="92"/>
  <c r="E24" i="92" s="1" a="1"/>
  <c r="E24" i="92" s="1"/>
  <c r="D19" i="92"/>
  <c r="D24" i="92" s="1" a="1"/>
  <c r="D24" i="92" s="1"/>
  <c r="I14" i="92"/>
  <c r="G14" i="92" a="1"/>
  <c r="G14" i="92" s="1"/>
  <c r="D14" i="92" a="1"/>
  <c r="D14" i="92" s="1"/>
  <c r="E12" i="92" a="1"/>
  <c r="E12" i="92" s="1"/>
  <c r="E11" i="92" a="1"/>
  <c r="E11" i="92" s="1"/>
  <c r="D7" i="92" a="1"/>
  <c r="D7" i="92" s="1"/>
  <c r="D6" i="92" a="1"/>
  <c r="D6" i="92" s="1"/>
  <c r="D5" i="92" a="1"/>
  <c r="D5" i="92" s="1"/>
  <c r="D233" i="91" a="1"/>
  <c r="D233" i="91" s="1"/>
  <c r="F54" i="82" s="1"/>
  <c r="D232" i="91" a="1"/>
  <c r="D232" i="91" s="1"/>
  <c r="D231" i="91" a="1"/>
  <c r="D231" i="91" s="1"/>
  <c r="D230" i="91" a="1"/>
  <c r="D230" i="91" s="1"/>
  <c r="D229" i="91" a="1"/>
  <c r="D229" i="91" s="1"/>
  <c r="D227" i="91" a="1"/>
  <c r="D227" i="91" s="1"/>
  <c r="D226" i="91" a="1"/>
  <c r="D226" i="91" s="1"/>
  <c r="D225" i="91" a="1"/>
  <c r="D225" i="91" s="1"/>
  <c r="D224" i="91" a="1"/>
  <c r="D224" i="91" s="1"/>
  <c r="D223" i="91" a="1"/>
  <c r="D223" i="91" s="1"/>
  <c r="D221" i="91" a="1"/>
  <c r="D221" i="91" s="1"/>
  <c r="I14" i="89" s="1"/>
  <c r="D220" i="91" a="1"/>
  <c r="D220" i="91" s="1"/>
  <c r="D219" i="91" a="1"/>
  <c r="D219" i="91" s="1"/>
  <c r="D218" i="91" a="1"/>
  <c r="D218" i="91" s="1"/>
  <c r="D217" i="91" a="1"/>
  <c r="D217" i="91" s="1"/>
  <c r="D215" i="91" a="1"/>
  <c r="D215" i="91" s="1"/>
  <c r="J15" i="86" s="1"/>
  <c r="A215" i="91"/>
  <c r="D214" i="91" a="1"/>
  <c r="D214" i="91" s="1"/>
  <c r="D213" i="91" a="1"/>
  <c r="D213" i="91" s="1"/>
  <c r="D212" i="91" a="1"/>
  <c r="D212" i="91" s="1"/>
  <c r="D211" i="91" a="1"/>
  <c r="D211" i="91" s="1"/>
  <c r="D209" i="91" a="1"/>
  <c r="D209" i="91" s="1"/>
  <c r="I15" i="90" s="1"/>
  <c r="D208" i="91" a="1"/>
  <c r="D208" i="91" s="1"/>
  <c r="D207" i="91" a="1"/>
  <c r="D207" i="91" s="1"/>
  <c r="D206" i="91" a="1"/>
  <c r="D206" i="91" s="1"/>
  <c r="D205" i="91" a="1"/>
  <c r="D205" i="91" s="1"/>
  <c r="D202" i="91" a="1"/>
  <c r="D202" i="91" s="1"/>
  <c r="J44" i="90" s="1"/>
  <c r="D201" i="91" a="1"/>
  <c r="D201" i="91" s="1"/>
  <c r="D200" i="91" a="1"/>
  <c r="D200" i="91" s="1"/>
  <c r="D199" i="91" a="1"/>
  <c r="D199" i="91" s="1"/>
  <c r="D198" i="91" a="1"/>
  <c r="D198" i="91" s="1"/>
  <c r="D195" i="91" a="1"/>
  <c r="D195" i="91" s="1"/>
  <c r="I221" i="83" s="1"/>
  <c r="D194" i="91" a="1"/>
  <c r="D194" i="91" s="1"/>
  <c r="D193" i="91" a="1"/>
  <c r="D193" i="91" s="1"/>
  <c r="D192" i="91" a="1"/>
  <c r="D192" i="91" s="1"/>
  <c r="D191" i="91" a="1"/>
  <c r="D191" i="91" s="1"/>
  <c r="D188" i="91" a="1"/>
  <c r="D188" i="91" s="1"/>
  <c r="I128" i="83" s="1"/>
  <c r="D187" i="91" a="1"/>
  <c r="D187" i="91" s="1"/>
  <c r="D186" i="91" a="1"/>
  <c r="D186" i="91" s="1"/>
  <c r="D185" i="91" a="1"/>
  <c r="D185" i="91" s="1"/>
  <c r="D184" i="91" a="1"/>
  <c r="D184" i="91" s="1"/>
  <c r="D181" i="91" a="1"/>
  <c r="D181" i="91" s="1"/>
  <c r="I67" i="83" s="1"/>
  <c r="D180" i="91" a="1"/>
  <c r="D180" i="91" s="1"/>
  <c r="D179" i="91" a="1"/>
  <c r="D179" i="91" s="1"/>
  <c r="D178" i="91" a="1"/>
  <c r="D178" i="91" s="1"/>
  <c r="D177" i="91" a="1"/>
  <c r="D177" i="91" s="1"/>
  <c r="D174" i="91" a="1"/>
  <c r="D174" i="91" s="1"/>
  <c r="I66" i="83" s="1"/>
  <c r="A174" i="91"/>
  <c r="D173" i="91" a="1"/>
  <c r="D173" i="91" s="1"/>
  <c r="D172" i="91" a="1"/>
  <c r="D172" i="91" s="1"/>
  <c r="D171" i="91" a="1"/>
  <c r="D171" i="91" s="1"/>
  <c r="D170" i="91" a="1"/>
  <c r="D170" i="91" s="1"/>
  <c r="D167" i="91" a="1"/>
  <c r="D167" i="91" s="1"/>
  <c r="I65" i="83" s="1"/>
  <c r="D166" i="91" a="1"/>
  <c r="D166" i="91" s="1"/>
  <c r="D165" i="91" a="1"/>
  <c r="D165" i="91" s="1"/>
  <c r="D164" i="91" a="1"/>
  <c r="D164" i="91" s="1"/>
  <c r="D163" i="91" a="1"/>
  <c r="D163" i="91" s="1"/>
  <c r="D160" i="91" a="1"/>
  <c r="D160" i="91" s="1"/>
  <c r="D159" i="91" a="1"/>
  <c r="D159" i="91" s="1"/>
  <c r="D158" i="91" a="1"/>
  <c r="D158" i="91" s="1"/>
  <c r="D157" i="91" a="1"/>
  <c r="D157" i="91" s="1"/>
  <c r="D156" i="91" a="1"/>
  <c r="D156" i="91" s="1"/>
  <c r="D153" i="91" a="1"/>
  <c r="D153" i="91" s="1"/>
  <c r="D152" i="91" a="1"/>
  <c r="D152" i="91" s="1"/>
  <c r="D151" i="91" a="1"/>
  <c r="D151" i="91" s="1"/>
  <c r="D150" i="91" a="1"/>
  <c r="D150" i="91" s="1"/>
  <c r="D149" i="91" a="1"/>
  <c r="D149" i="91" s="1"/>
  <c r="F146" i="91" a="1"/>
  <c r="F146" i="91" s="1"/>
  <c r="E146" i="91" a="1"/>
  <c r="E146" i="91" s="1"/>
  <c r="D146" i="91" a="1"/>
  <c r="D146" i="91" s="1"/>
  <c r="F145" i="91" a="1"/>
  <c r="F145" i="91" s="1"/>
  <c r="E145" i="91" a="1"/>
  <c r="E145" i="91" s="1"/>
  <c r="D145" i="91" a="1"/>
  <c r="D145" i="91" s="1"/>
  <c r="F144" i="91" a="1"/>
  <c r="F144" i="91" s="1"/>
  <c r="E144" i="91" a="1"/>
  <c r="E144" i="91" s="1"/>
  <c r="D144" i="91" a="1"/>
  <c r="D144" i="91" s="1"/>
  <c r="F143" i="91" a="1"/>
  <c r="F143" i="91" s="1"/>
  <c r="E143" i="91" a="1"/>
  <c r="E143" i="91" s="1"/>
  <c r="D143" i="91" a="1"/>
  <c r="D143" i="91" s="1"/>
  <c r="F142" i="91" a="1"/>
  <c r="F142" i="91" s="1"/>
  <c r="E142" i="91" a="1"/>
  <c r="E142" i="91" s="1"/>
  <c r="D142" i="91" a="1"/>
  <c r="D142" i="91" s="1"/>
  <c r="D140" i="91" a="1"/>
  <c r="D140" i="91" s="1"/>
  <c r="D139" i="91" a="1"/>
  <c r="D139" i="91" s="1"/>
  <c r="D138" i="91" a="1"/>
  <c r="D138" i="91" s="1"/>
  <c r="D137" i="91" a="1"/>
  <c r="D137" i="91" s="1"/>
  <c r="D136" i="91" a="1"/>
  <c r="D136" i="91" s="1"/>
  <c r="F133" i="91" a="1"/>
  <c r="F133" i="91" s="1"/>
  <c r="E133" i="91" a="1"/>
  <c r="E133" i="91" s="1"/>
  <c r="D133" i="91" a="1"/>
  <c r="D133" i="91" s="1"/>
  <c r="F132" i="91" a="1"/>
  <c r="F132" i="91" s="1"/>
  <c r="E132" i="91" a="1"/>
  <c r="E132" i="91" s="1"/>
  <c r="D132" i="91" a="1"/>
  <c r="D132" i="91" s="1"/>
  <c r="F131" i="91" a="1"/>
  <c r="F131" i="91" s="1"/>
  <c r="E131" i="91" a="1"/>
  <c r="E131" i="91" s="1"/>
  <c r="D131" i="91" a="1"/>
  <c r="D131" i="91" s="1"/>
  <c r="F130" i="91" a="1"/>
  <c r="F130" i="91" s="1"/>
  <c r="E130" i="91" a="1"/>
  <c r="E130" i="91" s="1"/>
  <c r="D130" i="91" a="1"/>
  <c r="D130" i="91" s="1"/>
  <c r="F129" i="91" a="1"/>
  <c r="F129" i="91" s="1"/>
  <c r="E129" i="91" a="1"/>
  <c r="E129" i="91" s="1"/>
  <c r="D129" i="91" a="1"/>
  <c r="D129" i="91" s="1"/>
  <c r="D127" i="91" a="1"/>
  <c r="D127" i="91" s="1"/>
  <c r="D126" i="91" a="1"/>
  <c r="D126" i="91" s="1"/>
  <c r="D125" i="91" a="1"/>
  <c r="D125" i="91" s="1"/>
  <c r="D124" i="91" a="1"/>
  <c r="D124" i="91" s="1"/>
  <c r="D123" i="91" a="1"/>
  <c r="D123" i="91" s="1"/>
  <c r="G120" i="91" a="1"/>
  <c r="G120" i="91" s="1"/>
  <c r="F120" i="91" a="1"/>
  <c r="F120" i="91" s="1"/>
  <c r="E120" i="91" a="1"/>
  <c r="E120" i="91" s="1"/>
  <c r="D120" i="91" a="1"/>
  <c r="D120" i="91" s="1"/>
  <c r="G119" i="91" a="1"/>
  <c r="G119" i="91" s="1"/>
  <c r="F119" i="91" a="1"/>
  <c r="F119" i="91" s="1"/>
  <c r="E119" i="91" a="1"/>
  <c r="E119" i="91" s="1"/>
  <c r="D119" i="91" a="1"/>
  <c r="D119" i="91" s="1"/>
  <c r="G118" i="91" a="1"/>
  <c r="G118" i="91" s="1"/>
  <c r="F118" i="91" a="1"/>
  <c r="F118" i="91" s="1"/>
  <c r="E118" i="91" a="1"/>
  <c r="E118" i="91" s="1"/>
  <c r="D118" i="91" a="1"/>
  <c r="D118" i="91" s="1"/>
  <c r="G117" i="91" a="1"/>
  <c r="G117" i="91" s="1"/>
  <c r="F117" i="91" a="1"/>
  <c r="F117" i="91" s="1"/>
  <c r="E117" i="91" a="1"/>
  <c r="E117" i="91" s="1"/>
  <c r="D117" i="91" a="1"/>
  <c r="D117" i="91" s="1"/>
  <c r="D115" i="91" a="1"/>
  <c r="D115" i="91" s="1"/>
  <c r="D114" i="91" a="1"/>
  <c r="D114" i="91" s="1"/>
  <c r="D113" i="91" a="1"/>
  <c r="D113" i="91" s="1"/>
  <c r="D112" i="91" a="1"/>
  <c r="D112" i="91" s="1"/>
  <c r="E109" i="91" a="1"/>
  <c r="E109" i="91" s="1"/>
  <c r="D109" i="91" a="1"/>
  <c r="D109" i="91" s="1"/>
  <c r="E108" i="91" a="1"/>
  <c r="E108" i="91" s="1"/>
  <c r="D108" i="91" a="1"/>
  <c r="D108" i="91" s="1"/>
  <c r="D106" i="91" a="1"/>
  <c r="D106" i="91" s="1"/>
  <c r="D105" i="91" a="1"/>
  <c r="D105" i="91" s="1"/>
  <c r="D104" i="91" a="1"/>
  <c r="D104" i="91" s="1"/>
  <c r="D103" i="91" a="1"/>
  <c r="D103" i="91" s="1"/>
  <c r="E100" i="91" a="1"/>
  <c r="E100" i="91" s="1"/>
  <c r="D100" i="91" a="1"/>
  <c r="D100" i="91" s="1"/>
  <c r="E99" i="91" a="1"/>
  <c r="E99" i="91" s="1"/>
  <c r="D99" i="91" a="1"/>
  <c r="D99" i="91" s="1"/>
  <c r="D97" i="91" a="1"/>
  <c r="D97" i="91" s="1"/>
  <c r="D96" i="91" a="1"/>
  <c r="D96" i="91" s="1"/>
  <c r="D95" i="91" a="1"/>
  <c r="D95" i="91" s="1"/>
  <c r="D94" i="91" a="1"/>
  <c r="D94" i="91" s="1"/>
  <c r="G91" i="91" a="1"/>
  <c r="G91" i="91" s="1"/>
  <c r="F91" i="91" a="1"/>
  <c r="F91" i="91" s="1"/>
  <c r="E91" i="91" a="1"/>
  <c r="E91" i="91" s="1"/>
  <c r="D91" i="91" a="1"/>
  <c r="D91" i="91" s="1"/>
  <c r="G90" i="91" a="1"/>
  <c r="G90" i="91" s="1"/>
  <c r="F90" i="91" a="1"/>
  <c r="F90" i="91" s="1"/>
  <c r="E90" i="91" a="1"/>
  <c r="E90" i="91" s="1"/>
  <c r="D90" i="91" a="1"/>
  <c r="D90" i="91" s="1"/>
  <c r="G89" i="91" a="1"/>
  <c r="G89" i="91" s="1"/>
  <c r="F89" i="91" a="1"/>
  <c r="F89" i="91" s="1"/>
  <c r="E89" i="91" a="1"/>
  <c r="E89" i="91" s="1"/>
  <c r="D89" i="91" a="1"/>
  <c r="D89" i="91" s="1"/>
  <c r="G88" i="91" a="1"/>
  <c r="G88" i="91" s="1"/>
  <c r="F88" i="91" a="1"/>
  <c r="F88" i="91" s="1"/>
  <c r="E88" i="91" a="1"/>
  <c r="E88" i="91" s="1"/>
  <c r="D88" i="91" a="1"/>
  <c r="D88" i="91" s="1"/>
  <c r="G87" i="91" a="1"/>
  <c r="G87" i="91" s="1"/>
  <c r="F87" i="91" a="1"/>
  <c r="F87" i="91" s="1"/>
  <c r="E87" i="91" a="1"/>
  <c r="E87" i="91" s="1"/>
  <c r="D87" i="91" a="1"/>
  <c r="D87" i="91" s="1"/>
  <c r="D85" i="91" a="1"/>
  <c r="D85" i="91" s="1"/>
  <c r="D84" i="91" a="1"/>
  <c r="D84" i="91" s="1"/>
  <c r="D83" i="91" a="1"/>
  <c r="D83" i="91" s="1"/>
  <c r="D82" i="91" a="1"/>
  <c r="D82" i="91" s="1"/>
  <c r="D81" i="91" a="1"/>
  <c r="D81" i="91" s="1"/>
  <c r="M78" i="91" a="1"/>
  <c r="M78" i="91" s="1"/>
  <c r="L78" i="91" a="1"/>
  <c r="L78" i="91" s="1"/>
  <c r="K78" i="91" a="1"/>
  <c r="K78" i="91" s="1"/>
  <c r="J78" i="91" a="1"/>
  <c r="J78" i="91" s="1"/>
  <c r="I78" i="91" a="1"/>
  <c r="I78" i="91" s="1"/>
  <c r="H78" i="91" a="1"/>
  <c r="H78" i="91" s="1"/>
  <c r="G78" i="91" a="1"/>
  <c r="G78" i="91" s="1"/>
  <c r="F78" i="91" a="1"/>
  <c r="F78" i="91" s="1"/>
  <c r="E78" i="91" a="1"/>
  <c r="E78" i="91" s="1"/>
  <c r="D78" i="91" a="1"/>
  <c r="D78" i="91" s="1"/>
  <c r="M77" i="91" a="1"/>
  <c r="M77" i="91" s="1"/>
  <c r="L77" i="91" a="1"/>
  <c r="L77" i="91" s="1"/>
  <c r="K77" i="91" a="1"/>
  <c r="K77" i="91" s="1"/>
  <c r="J77" i="91" a="1"/>
  <c r="J77" i="91" s="1"/>
  <c r="I77" i="91" a="1"/>
  <c r="I77" i="91" s="1"/>
  <c r="H77" i="91" a="1"/>
  <c r="H77" i="91" s="1"/>
  <c r="G77" i="91" a="1"/>
  <c r="G77" i="91" s="1"/>
  <c r="F77" i="91" a="1"/>
  <c r="F77" i="91" s="1"/>
  <c r="E77" i="91" a="1"/>
  <c r="E77" i="91" s="1"/>
  <c r="D77" i="91" a="1"/>
  <c r="D77" i="91" s="1"/>
  <c r="M76" i="91" a="1"/>
  <c r="M76" i="91" s="1"/>
  <c r="L76" i="91" a="1"/>
  <c r="L76" i="91" s="1"/>
  <c r="K76" i="91" a="1"/>
  <c r="K76" i="91" s="1"/>
  <c r="J76" i="91" a="1"/>
  <c r="J76" i="91" s="1"/>
  <c r="I76" i="91" a="1"/>
  <c r="I76" i="91" s="1"/>
  <c r="H76" i="91" a="1"/>
  <c r="H76" i="91" s="1"/>
  <c r="G76" i="91" a="1"/>
  <c r="G76" i="91" s="1"/>
  <c r="F76" i="91" a="1"/>
  <c r="F76" i="91" s="1"/>
  <c r="E76" i="91" a="1"/>
  <c r="E76" i="91" s="1"/>
  <c r="D76" i="91" a="1"/>
  <c r="D76" i="91" s="1"/>
  <c r="M75" i="91" a="1"/>
  <c r="M75" i="91" s="1"/>
  <c r="L75" i="91" a="1"/>
  <c r="L75" i="91" s="1"/>
  <c r="K75" i="91" a="1"/>
  <c r="K75" i="91" s="1"/>
  <c r="J75" i="91" a="1"/>
  <c r="J75" i="91" s="1"/>
  <c r="I75" i="91" a="1"/>
  <c r="I75" i="91" s="1"/>
  <c r="H75" i="91" a="1"/>
  <c r="H75" i="91" s="1"/>
  <c r="G75" i="91" a="1"/>
  <c r="G75" i="91" s="1"/>
  <c r="F75" i="91" a="1"/>
  <c r="F75" i="91" s="1"/>
  <c r="E75" i="91" a="1"/>
  <c r="E75" i="91" s="1"/>
  <c r="D75" i="91" a="1"/>
  <c r="D75" i="91" s="1"/>
  <c r="M74" i="91" a="1"/>
  <c r="M74" i="91" s="1"/>
  <c r="L74" i="91" a="1"/>
  <c r="L74" i="91" s="1"/>
  <c r="K74" i="91" a="1"/>
  <c r="K74" i="91" s="1"/>
  <c r="J74" i="91" a="1"/>
  <c r="J74" i="91" s="1"/>
  <c r="I74" i="91" a="1"/>
  <c r="I74" i="91" s="1"/>
  <c r="H74" i="91" a="1"/>
  <c r="H74" i="91" s="1"/>
  <c r="G74" i="91" a="1"/>
  <c r="G74" i="91" s="1"/>
  <c r="F74" i="91" a="1"/>
  <c r="F74" i="91" s="1"/>
  <c r="E74" i="91" a="1"/>
  <c r="E74" i="91" s="1"/>
  <c r="D74" i="91" a="1"/>
  <c r="D74" i="91" s="1"/>
  <c r="M73" i="91" a="1"/>
  <c r="M73" i="91" s="1"/>
  <c r="L73" i="91" a="1"/>
  <c r="L73" i="91" s="1"/>
  <c r="K73" i="91" a="1"/>
  <c r="K73" i="91" s="1"/>
  <c r="J73" i="91" a="1"/>
  <c r="J73" i="91" s="1"/>
  <c r="I73" i="91" a="1"/>
  <c r="I73" i="91" s="1"/>
  <c r="H73" i="91" a="1"/>
  <c r="H73" i="91" s="1"/>
  <c r="G73" i="91" a="1"/>
  <c r="G73" i="91" s="1"/>
  <c r="F73" i="91" a="1"/>
  <c r="F73" i="91" s="1"/>
  <c r="E73" i="91" a="1"/>
  <c r="E73" i="91" s="1"/>
  <c r="D73" i="91" a="1"/>
  <c r="D73" i="91" s="1"/>
  <c r="D71" i="91" a="1"/>
  <c r="D71" i="91" s="1"/>
  <c r="D70" i="91" a="1"/>
  <c r="D70" i="91" s="1"/>
  <c r="D69" i="91" a="1"/>
  <c r="D69" i="91" s="1"/>
  <c r="D68" i="91" a="1"/>
  <c r="D68" i="91" s="1"/>
  <c r="D67" i="91" a="1"/>
  <c r="D67" i="91" s="1"/>
  <c r="G64" i="91" a="1"/>
  <c r="G64" i="91" s="1"/>
  <c r="F64" i="91" a="1"/>
  <c r="F64" i="91" s="1"/>
  <c r="E64" i="91" a="1"/>
  <c r="E64" i="91" s="1"/>
  <c r="D64" i="91" a="1"/>
  <c r="D64" i="91" s="1"/>
  <c r="G63" i="91" a="1"/>
  <c r="G63" i="91" s="1"/>
  <c r="F63" i="91" a="1"/>
  <c r="F63" i="91" s="1"/>
  <c r="E63" i="91" a="1"/>
  <c r="E63" i="91" s="1"/>
  <c r="D63" i="91" a="1"/>
  <c r="D63" i="91" s="1"/>
  <c r="D61" i="91" a="1"/>
  <c r="D61" i="91" s="1"/>
  <c r="D60" i="91" a="1"/>
  <c r="D60" i="91" s="1"/>
  <c r="D59" i="91" a="1"/>
  <c r="D59" i="91" s="1"/>
  <c r="D58" i="91" a="1"/>
  <c r="D58" i="91" s="1"/>
  <c r="H55" i="91" a="1"/>
  <c r="H55" i="91" s="1"/>
  <c r="G55" i="91" a="1"/>
  <c r="G55" i="91" s="1"/>
  <c r="F55" i="91" a="1"/>
  <c r="F55" i="91" s="1"/>
  <c r="E55" i="91" a="1"/>
  <c r="E55" i="91" s="1"/>
  <c r="D55" i="91" a="1"/>
  <c r="D55" i="91" s="1"/>
  <c r="D53" i="91" a="1"/>
  <c r="D53" i="91" s="1"/>
  <c r="D52" i="91" a="1"/>
  <c r="D52" i="91" s="1"/>
  <c r="D51" i="91" a="1"/>
  <c r="D51" i="91" s="1"/>
  <c r="D50" i="91" a="1"/>
  <c r="D50" i="91" s="1"/>
  <c r="H47" i="91" a="1"/>
  <c r="H47" i="91" s="1"/>
  <c r="G47" i="91" a="1"/>
  <c r="G47" i="91" s="1"/>
  <c r="F47" i="91" a="1"/>
  <c r="F47" i="91" s="1"/>
  <c r="E47" i="91" a="1"/>
  <c r="E47" i="91" s="1"/>
  <c r="D47" i="91" a="1"/>
  <c r="D47" i="91" s="1"/>
  <c r="D45" i="91" a="1"/>
  <c r="D45" i="91" s="1"/>
  <c r="D44" i="91" a="1"/>
  <c r="D44" i="91" s="1"/>
  <c r="D43" i="91" a="1"/>
  <c r="D43" i="91" s="1"/>
  <c r="D42" i="91" a="1"/>
  <c r="D42" i="91" s="1"/>
  <c r="F39" i="91" a="1"/>
  <c r="F39" i="91" s="1"/>
  <c r="E39" i="91" a="1"/>
  <c r="E39" i="91" s="1"/>
  <c r="D39" i="91" a="1"/>
  <c r="D39" i="91" s="1"/>
  <c r="D37" i="91" a="1"/>
  <c r="D37" i="91" s="1"/>
  <c r="D36" i="91" a="1"/>
  <c r="D36" i="91" s="1"/>
  <c r="D35" i="91" a="1"/>
  <c r="D35" i="91" s="1"/>
  <c r="D34" i="91" a="1"/>
  <c r="D34" i="91" s="1"/>
  <c r="G31" i="91" a="1"/>
  <c r="G31" i="91" s="1"/>
  <c r="F31" i="91" a="1"/>
  <c r="F31" i="91" s="1"/>
  <c r="E31" i="91" a="1"/>
  <c r="E31" i="91" s="1"/>
  <c r="D31" i="91" a="1"/>
  <c r="D31" i="91" s="1"/>
  <c r="G30" i="91" a="1"/>
  <c r="G30" i="91" s="1"/>
  <c r="F30" i="91" a="1"/>
  <c r="F30" i="91" s="1"/>
  <c r="E30" i="91" a="1"/>
  <c r="E30" i="91" s="1"/>
  <c r="D30" i="91" a="1"/>
  <c r="D30" i="91" s="1"/>
  <c r="G29" i="91" a="1"/>
  <c r="G29" i="91" s="1"/>
  <c r="F29" i="91" a="1"/>
  <c r="F29" i="91" s="1"/>
  <c r="E29" i="91" a="1"/>
  <c r="E29" i="91" s="1"/>
  <c r="D29" i="91" a="1"/>
  <c r="D29" i="91" s="1"/>
  <c r="G28" i="91" a="1"/>
  <c r="G28" i="91" s="1"/>
  <c r="F28" i="91" a="1"/>
  <c r="F28" i="91" s="1"/>
  <c r="E28" i="91" a="1"/>
  <c r="E28" i="91" s="1"/>
  <c r="D28" i="91" a="1"/>
  <c r="D28" i="91" s="1"/>
  <c r="G27" i="91" a="1"/>
  <c r="G27" i="91" s="1"/>
  <c r="F27" i="91" a="1"/>
  <c r="F27" i="91" s="1"/>
  <c r="E27" i="91" a="1"/>
  <c r="E27" i="91" s="1"/>
  <c r="D27" i="91" a="1"/>
  <c r="D27" i="91" s="1"/>
  <c r="G26" i="91" a="1"/>
  <c r="G26" i="91" s="1"/>
  <c r="F26" i="91" a="1"/>
  <c r="F26" i="91" s="1"/>
  <c r="E26" i="91" a="1"/>
  <c r="E26" i="91" s="1"/>
  <c r="D26" i="91" a="1"/>
  <c r="D26" i="91" s="1"/>
  <c r="G25" i="91" a="1"/>
  <c r="G25" i="91" s="1"/>
  <c r="F25" i="91" a="1"/>
  <c r="F25" i="91" s="1"/>
  <c r="E25" i="91" a="1"/>
  <c r="E25" i="91" s="1"/>
  <c r="D25" i="91" a="1"/>
  <c r="D25" i="91" s="1"/>
  <c r="G24" i="91" a="1"/>
  <c r="G24" i="91" s="1"/>
  <c r="F24" i="91" a="1"/>
  <c r="F24" i="91" s="1"/>
  <c r="E24" i="91" a="1"/>
  <c r="E24" i="91" s="1"/>
  <c r="D24" i="91" a="1"/>
  <c r="D24" i="91" s="1"/>
  <c r="G23" i="91" a="1"/>
  <c r="G23" i="91" s="1"/>
  <c r="F23" i="91" a="1"/>
  <c r="F23" i="91" s="1"/>
  <c r="E23" i="91" a="1"/>
  <c r="E23" i="91" s="1"/>
  <c r="D23" i="91" a="1"/>
  <c r="D23" i="91" s="1"/>
  <c r="G22" i="91" a="1"/>
  <c r="G22" i="91" s="1"/>
  <c r="F22" i="91" a="1"/>
  <c r="F22" i="91" s="1"/>
  <c r="E22" i="91" a="1"/>
  <c r="E22" i="91" s="1"/>
  <c r="D22" i="91" a="1"/>
  <c r="D22" i="91" s="1"/>
  <c r="D20" i="91" a="1"/>
  <c r="D20" i="91" s="1"/>
  <c r="D19" i="91" a="1"/>
  <c r="D19" i="91" s="1"/>
  <c r="D18" i="91" a="1"/>
  <c r="D18" i="91" s="1"/>
  <c r="D17" i="91" a="1"/>
  <c r="D17" i="91" s="1"/>
  <c r="D16" i="91" a="1"/>
  <c r="D16" i="91" s="1"/>
  <c r="Q52" i="90" a="1"/>
  <c r="Q52" i="90" s="1"/>
  <c r="F52" i="90" a="1"/>
  <c r="F52" i="90" s="1"/>
  <c r="O49" i="90" a="1"/>
  <c r="O49" i="90" s="1"/>
  <c r="D49" i="90" a="1"/>
  <c r="D49" i="90" s="1"/>
  <c r="S43" i="90" a="1"/>
  <c r="S43" i="90" s="1"/>
  <c r="O43" i="90" a="1"/>
  <c r="O43" i="90" s="1"/>
  <c r="H43" i="90" a="1"/>
  <c r="H43" i="90" s="1"/>
  <c r="D43" i="90" a="1"/>
  <c r="D43" i="90" s="1"/>
  <c r="E41" i="90" a="1"/>
  <c r="E41" i="90" s="1"/>
  <c r="E40" i="90" a="1"/>
  <c r="E40" i="90" s="1"/>
  <c r="D36" i="90" a="1"/>
  <c r="D36" i="90" s="1"/>
  <c r="D35" i="90" a="1"/>
  <c r="D35" i="90" s="1"/>
  <c r="O28" i="90"/>
  <c r="D28" i="90"/>
  <c r="O23" i="90"/>
  <c r="D23" i="90"/>
  <c r="I18" i="90"/>
  <c r="I17" i="90"/>
  <c r="I16" i="90"/>
  <c r="I13" i="90" a="1"/>
  <c r="I13" i="90" s="1"/>
  <c r="G13" i="90" a="1"/>
  <c r="G13" i="90" s="1"/>
  <c r="D13" i="90" a="1"/>
  <c r="D13" i="90" s="1"/>
  <c r="E11" i="90" a="1"/>
  <c r="E11" i="90" s="1"/>
  <c r="E10" i="90" a="1"/>
  <c r="E10" i="90" s="1"/>
  <c r="D6" i="90" a="1"/>
  <c r="D6" i="90" s="1"/>
  <c r="D5" i="90" a="1"/>
  <c r="D5" i="90" s="1"/>
  <c r="Q50" i="89" a="1"/>
  <c r="Q50" i="89" s="1"/>
  <c r="F50" i="89" a="1"/>
  <c r="F50" i="89" s="1"/>
  <c r="O47" i="89" a="1"/>
  <c r="O47" i="89" s="1"/>
  <c r="D47" i="89" a="1"/>
  <c r="D47" i="89" s="1"/>
  <c r="I43" i="89"/>
  <c r="I42" i="89"/>
  <c r="I41" i="89"/>
  <c r="G38" i="89" a="1"/>
  <c r="G38" i="89" s="1"/>
  <c r="D38" i="89" a="1"/>
  <c r="P38" i="89" s="1"/>
  <c r="E36" i="89" a="1"/>
  <c r="E36" i="89" s="1"/>
  <c r="E35" i="89" a="1"/>
  <c r="E35" i="89" s="1"/>
  <c r="D31" i="89" a="1"/>
  <c r="D31" i="89" s="1"/>
  <c r="D30" i="89" a="1"/>
  <c r="D30" i="89" s="1"/>
  <c r="O24" i="89"/>
  <c r="D24" i="89"/>
  <c r="O19" i="89"/>
  <c r="D19" i="89"/>
  <c r="I13" i="89" a="1"/>
  <c r="I13" i="89" s="1"/>
  <c r="G13" i="89" a="1"/>
  <c r="G13" i="89" s="1"/>
  <c r="D13" i="89" a="1"/>
  <c r="D13" i="89" s="1"/>
  <c r="E11" i="89" a="1"/>
  <c r="E11" i="89" s="1"/>
  <c r="E10" i="89" a="1"/>
  <c r="E10" i="89" s="1"/>
  <c r="D6" i="89" a="1"/>
  <c r="D6" i="89" s="1"/>
  <c r="D5" i="89" a="1"/>
  <c r="D5" i="89" s="1"/>
  <c r="Q58" i="88" a="1"/>
  <c r="Q58" i="88" s="1"/>
  <c r="F58" i="88" a="1"/>
  <c r="F58" i="88" s="1"/>
  <c r="O55" i="88" a="1"/>
  <c r="O55" i="88" s="1"/>
  <c r="D55" i="88" a="1"/>
  <c r="D55" i="88" s="1"/>
  <c r="O51" i="88"/>
  <c r="D51" i="88"/>
  <c r="J46" i="88"/>
  <c r="J44" i="88" s="1"/>
  <c r="J43" i="88" a="1"/>
  <c r="J43" i="88" s="1"/>
  <c r="H43" i="88" a="1"/>
  <c r="H43" i="88" s="1"/>
  <c r="D43" i="88" a="1"/>
  <c r="D43" i="88" s="1"/>
  <c r="E41" i="88" a="1"/>
  <c r="E41" i="88" s="1"/>
  <c r="Q53" i="88" s="1"/>
  <c r="E40" i="88" a="1"/>
  <c r="E40" i="88" s="1"/>
  <c r="D36" i="88" a="1"/>
  <c r="D36" i="88" s="1"/>
  <c r="D35" i="88" a="1"/>
  <c r="D35" i="88" s="1"/>
  <c r="O31" i="88"/>
  <c r="D31" i="88"/>
  <c r="U25" i="88"/>
  <c r="T25" i="88"/>
  <c r="S25" i="88"/>
  <c r="R25" i="88"/>
  <c r="Q25" i="88"/>
  <c r="O25" i="88"/>
  <c r="J25" i="88"/>
  <c r="I25" i="88"/>
  <c r="H25" i="88"/>
  <c r="G25" i="88"/>
  <c r="F25" i="88"/>
  <c r="D25" i="88"/>
  <c r="I14" i="88" a="1"/>
  <c r="I14" i="88" s="1"/>
  <c r="I13" i="88" a="1"/>
  <c r="I13" i="88" s="1"/>
  <c r="G13" i="88" a="1"/>
  <c r="V25" i="88" s="1"/>
  <c r="D13" i="88" a="1"/>
  <c r="D13" i="88" s="1"/>
  <c r="E11" i="88" a="1"/>
  <c r="E11" i="88" s="1"/>
  <c r="E10" i="88" a="1"/>
  <c r="E10" i="88" s="1"/>
  <c r="D6" i="88" a="1"/>
  <c r="D6" i="88" s="1"/>
  <c r="D5" i="88" a="1"/>
  <c r="D5" i="88" s="1"/>
  <c r="O146" i="87"/>
  <c r="D146" i="87"/>
  <c r="P145" i="87"/>
  <c r="O145" i="87"/>
  <c r="E145" i="87"/>
  <c r="D145" i="87"/>
  <c r="P144" i="87"/>
  <c r="O144" i="87"/>
  <c r="E144" i="87"/>
  <c r="D144" i="87"/>
  <c r="P143" i="87"/>
  <c r="O143" i="87"/>
  <c r="E143" i="87"/>
  <c r="D143" i="87"/>
  <c r="O142" i="87"/>
  <c r="D142" i="87"/>
  <c r="P141" i="87"/>
  <c r="O141" i="87"/>
  <c r="E141" i="87"/>
  <c r="D141" i="87"/>
  <c r="P140" i="87"/>
  <c r="O140" i="87"/>
  <c r="E140" i="87"/>
  <c r="D140" i="87"/>
  <c r="P139" i="87"/>
  <c r="O139" i="87"/>
  <c r="E139" i="87"/>
  <c r="D139" i="87"/>
  <c r="F134" i="87"/>
  <c r="D134" i="87"/>
  <c r="F133" i="87"/>
  <c r="E133" i="87"/>
  <c r="D133" i="87"/>
  <c r="F132" i="87"/>
  <c r="E132" i="87"/>
  <c r="D132" i="87"/>
  <c r="F131" i="87"/>
  <c r="E131" i="87"/>
  <c r="D131" i="87"/>
  <c r="F130" i="87"/>
  <c r="D130" i="87"/>
  <c r="F129" i="87"/>
  <c r="E129" i="87"/>
  <c r="D129" i="87"/>
  <c r="F128" i="87"/>
  <c r="E128" i="87"/>
  <c r="D128" i="87"/>
  <c r="F127" i="87"/>
  <c r="E127" i="87"/>
  <c r="D127" i="87"/>
  <c r="O113" i="87"/>
  <c r="D113" i="87"/>
  <c r="P112" i="87"/>
  <c r="O112" i="87"/>
  <c r="E112" i="87"/>
  <c r="D112" i="87"/>
  <c r="P111" i="87"/>
  <c r="O111" i="87"/>
  <c r="E111" i="87"/>
  <c r="D111" i="87"/>
  <c r="P110" i="87"/>
  <c r="O110" i="87"/>
  <c r="E110" i="87"/>
  <c r="D110" i="87"/>
  <c r="O109" i="87"/>
  <c r="D109" i="87"/>
  <c r="P108" i="87"/>
  <c r="O108" i="87"/>
  <c r="E108" i="87"/>
  <c r="D108" i="87"/>
  <c r="P107" i="87"/>
  <c r="O107" i="87"/>
  <c r="E107" i="87"/>
  <c r="D107" i="87"/>
  <c r="P106" i="87"/>
  <c r="O106" i="87"/>
  <c r="E106" i="87"/>
  <c r="D106" i="87"/>
  <c r="I101" i="87" a="1"/>
  <c r="I101" i="87" s="1"/>
  <c r="I100" i="87" a="1"/>
  <c r="I100" i="87" s="1"/>
  <c r="I99" i="87" a="1"/>
  <c r="I99" i="87" s="1"/>
  <c r="I98" i="87" a="1"/>
  <c r="I98" i="87" s="1"/>
  <c r="I97" i="87" a="1"/>
  <c r="I97" i="87" s="1"/>
  <c r="G97" i="87" a="1"/>
  <c r="G97" i="87" s="1"/>
  <c r="D97" i="87" a="1"/>
  <c r="D97" i="87" s="1"/>
  <c r="E95" i="87" a="1"/>
  <c r="E95" i="87" s="1"/>
  <c r="Q148" i="87" s="1"/>
  <c r="E94" i="87" a="1"/>
  <c r="E94" i="87" s="1"/>
  <c r="D90" i="87" a="1"/>
  <c r="D90" i="87" s="1"/>
  <c r="D89" i="87" a="1"/>
  <c r="D89" i="87" s="1"/>
  <c r="O83" i="87"/>
  <c r="D83" i="87"/>
  <c r="P82" i="87"/>
  <c r="O82" i="87"/>
  <c r="E82" i="87"/>
  <c r="D82" i="87"/>
  <c r="P81" i="87"/>
  <c r="O81" i="87"/>
  <c r="E81" i="87"/>
  <c r="D81" i="87"/>
  <c r="P80" i="87"/>
  <c r="O80" i="87"/>
  <c r="E80" i="87"/>
  <c r="D80" i="87"/>
  <c r="O79" i="87"/>
  <c r="D79" i="87"/>
  <c r="P78" i="87"/>
  <c r="O78" i="87"/>
  <c r="E78" i="87"/>
  <c r="D78" i="87"/>
  <c r="P77" i="87"/>
  <c r="O77" i="87"/>
  <c r="E77" i="87"/>
  <c r="D77" i="87"/>
  <c r="P76" i="87"/>
  <c r="O76" i="87"/>
  <c r="E76" i="87"/>
  <c r="D76" i="87"/>
  <c r="F71" i="87"/>
  <c r="E71" i="87"/>
  <c r="D71" i="87"/>
  <c r="F70" i="87"/>
  <c r="E70" i="87"/>
  <c r="D70" i="87"/>
  <c r="F69" i="87"/>
  <c r="E69" i="87"/>
  <c r="D69" i="87"/>
  <c r="F68" i="87"/>
  <c r="E68" i="87"/>
  <c r="D68" i="87"/>
  <c r="F67" i="87"/>
  <c r="E67" i="87"/>
  <c r="D67" i="87"/>
  <c r="F66" i="87"/>
  <c r="E66" i="87"/>
  <c r="D66" i="87"/>
  <c r="F65" i="87"/>
  <c r="E65" i="87"/>
  <c r="D65" i="87"/>
  <c r="F64" i="87"/>
  <c r="E64" i="87"/>
  <c r="D64" i="87"/>
  <c r="O59" i="87"/>
  <c r="D59" i="87"/>
  <c r="P58" i="87"/>
  <c r="O58" i="87"/>
  <c r="E58" i="87"/>
  <c r="D58" i="87"/>
  <c r="P57" i="87"/>
  <c r="O57" i="87"/>
  <c r="E57" i="87"/>
  <c r="D57" i="87"/>
  <c r="P56" i="87"/>
  <c r="O56" i="87"/>
  <c r="E56" i="87"/>
  <c r="D56" i="87"/>
  <c r="O55" i="87"/>
  <c r="D55" i="87"/>
  <c r="P54" i="87"/>
  <c r="O54" i="87"/>
  <c r="E54" i="87"/>
  <c r="D54" i="87"/>
  <c r="P53" i="87"/>
  <c r="O53" i="87"/>
  <c r="E53" i="87"/>
  <c r="D53" i="87"/>
  <c r="P52" i="87"/>
  <c r="O52" i="87"/>
  <c r="E52" i="87"/>
  <c r="D52" i="87"/>
  <c r="O47" i="87"/>
  <c r="D47" i="87"/>
  <c r="P46" i="87"/>
  <c r="O46" i="87"/>
  <c r="E46" i="87"/>
  <c r="D46" i="87"/>
  <c r="P45" i="87"/>
  <c r="O45" i="87"/>
  <c r="E45" i="87"/>
  <c r="D45" i="87"/>
  <c r="P44" i="87"/>
  <c r="O44" i="87"/>
  <c r="E44" i="87"/>
  <c r="D44" i="87"/>
  <c r="O43" i="87"/>
  <c r="D43" i="87"/>
  <c r="P42" i="87"/>
  <c r="O42" i="87"/>
  <c r="E42" i="87"/>
  <c r="D42" i="87"/>
  <c r="P41" i="87"/>
  <c r="O41" i="87"/>
  <c r="E41" i="87"/>
  <c r="D41" i="87"/>
  <c r="P40" i="87"/>
  <c r="O40" i="87"/>
  <c r="E40" i="87"/>
  <c r="D40" i="87"/>
  <c r="I17" i="87" a="1"/>
  <c r="I17" i="87" s="1"/>
  <c r="I16" i="87" a="1"/>
  <c r="I16" i="87" s="1"/>
  <c r="I15" i="87" a="1"/>
  <c r="I15" i="87" s="1"/>
  <c r="I14" i="87" a="1"/>
  <c r="I14" i="87" s="1"/>
  <c r="I13" i="87" a="1"/>
  <c r="I13" i="87" s="1"/>
  <c r="G13" i="87" a="1"/>
  <c r="G64" i="87" s="1"/>
  <c r="D13" i="87" a="1"/>
  <c r="D13" i="87" s="1"/>
  <c r="E11" i="87" a="1"/>
  <c r="E11" i="87" s="1"/>
  <c r="Q115" i="87" s="1"/>
  <c r="E10" i="87" a="1"/>
  <c r="E10" i="87" s="1"/>
  <c r="D6" i="87" a="1"/>
  <c r="D6" i="87" s="1"/>
  <c r="D119" i="87" s="1"/>
  <c r="D5" i="87" a="1"/>
  <c r="D5" i="87" s="1"/>
  <c r="Q57" i="86" a="1"/>
  <c r="Q57" i="86" s="1"/>
  <c r="F57" i="86" a="1"/>
  <c r="F57" i="86" s="1"/>
  <c r="O54" i="86" a="1"/>
  <c r="O54" i="86" s="1"/>
  <c r="D54" i="86" a="1"/>
  <c r="D54" i="86" s="1"/>
  <c r="O50" i="86"/>
  <c r="D50" i="86"/>
  <c r="O49" i="86"/>
  <c r="D49" i="86"/>
  <c r="I42" i="86" a="1"/>
  <c r="I42" i="86" s="1"/>
  <c r="G42" i="86" a="1"/>
  <c r="G42" i="86" s="1"/>
  <c r="D42" i="86" a="1"/>
  <c r="D42" i="86" s="1"/>
  <c r="E40" i="86" a="1"/>
  <c r="E40" i="86" s="1"/>
  <c r="E39" i="86" a="1"/>
  <c r="E39" i="86" s="1"/>
  <c r="D35" i="86" a="1"/>
  <c r="D35" i="86" s="1"/>
  <c r="D34" i="86" a="1"/>
  <c r="D34" i="86" s="1"/>
  <c r="O30" i="86"/>
  <c r="D30" i="86"/>
  <c r="O29" i="86"/>
  <c r="D29" i="86"/>
  <c r="O24" i="86"/>
  <c r="D24" i="86"/>
  <c r="O23" i="86"/>
  <c r="D23" i="86"/>
  <c r="J18" i="86"/>
  <c r="J14" i="86" s="1"/>
  <c r="J17" i="86"/>
  <c r="J16" i="86"/>
  <c r="J13" i="86" a="1"/>
  <c r="J13" i="86" s="1"/>
  <c r="H13" i="86" a="1"/>
  <c r="H13" i="86" s="1"/>
  <c r="D13" i="86" a="1"/>
  <c r="D13" i="86" s="1"/>
  <c r="E11" i="86" a="1"/>
  <c r="E11" i="86" s="1"/>
  <c r="E10" i="86" a="1"/>
  <c r="E10" i="86" s="1"/>
  <c r="D6" i="86" a="1"/>
  <c r="D6" i="86" s="1"/>
  <c r="D5" i="86" a="1"/>
  <c r="D5" i="86" s="1"/>
  <c r="Q73" i="85" a="1"/>
  <c r="Q73" i="85" s="1"/>
  <c r="F73" i="85" a="1"/>
  <c r="F73" i="85" s="1"/>
  <c r="O70" i="85" a="1"/>
  <c r="O70" i="85" s="1"/>
  <c r="D70" i="85" a="1"/>
  <c r="D70" i="85" s="1"/>
  <c r="I66" i="85"/>
  <c r="I65" i="85"/>
  <c r="I64" i="85"/>
  <c r="G61" i="85" a="1"/>
  <c r="G61" i="85" s="1"/>
  <c r="D61" i="85" a="1"/>
  <c r="P61" i="85" s="1"/>
  <c r="E59" i="85" a="1"/>
  <c r="E59" i="85" s="1"/>
  <c r="E58" i="85" a="1"/>
  <c r="E58" i="85" s="1"/>
  <c r="D54" i="85" a="1"/>
  <c r="D54" i="85" s="1"/>
  <c r="D53" i="85" a="1"/>
  <c r="D53" i="85" s="1"/>
  <c r="O47" i="85"/>
  <c r="D47" i="85"/>
  <c r="P46" i="85"/>
  <c r="O46" i="85"/>
  <c r="E46" i="85"/>
  <c r="D46" i="85"/>
  <c r="P45" i="85"/>
  <c r="O45" i="85"/>
  <c r="E45" i="85"/>
  <c r="D45" i="85"/>
  <c r="P44" i="85"/>
  <c r="O44" i="85"/>
  <c r="E44" i="85"/>
  <c r="D44" i="85"/>
  <c r="O43" i="85"/>
  <c r="D43" i="85"/>
  <c r="P42" i="85"/>
  <c r="O42" i="85"/>
  <c r="E42" i="85"/>
  <c r="D42" i="85"/>
  <c r="P41" i="85"/>
  <c r="O41" i="85"/>
  <c r="E41" i="85"/>
  <c r="D41" i="85"/>
  <c r="P40" i="85"/>
  <c r="O40" i="85"/>
  <c r="E40" i="85"/>
  <c r="D40" i="85"/>
  <c r="O26" i="85"/>
  <c r="D26" i="85"/>
  <c r="P25" i="85"/>
  <c r="O25" i="85"/>
  <c r="E25" i="85"/>
  <c r="D25" i="85"/>
  <c r="P24" i="85"/>
  <c r="O24" i="85"/>
  <c r="E24" i="85"/>
  <c r="D24" i="85"/>
  <c r="P23" i="85"/>
  <c r="O23" i="85"/>
  <c r="E23" i="85"/>
  <c r="D23" i="85"/>
  <c r="O22" i="85"/>
  <c r="D22" i="85"/>
  <c r="P21" i="85"/>
  <c r="O21" i="85"/>
  <c r="E21" i="85"/>
  <c r="D21" i="85"/>
  <c r="P20" i="85"/>
  <c r="O20" i="85"/>
  <c r="E20" i="85"/>
  <c r="D20" i="85"/>
  <c r="P19" i="85"/>
  <c r="O19" i="85"/>
  <c r="E19" i="85"/>
  <c r="D19" i="85"/>
  <c r="I14" i="85" a="1"/>
  <c r="I14" i="85" s="1"/>
  <c r="I13" i="85" a="1"/>
  <c r="I13" i="85" s="1"/>
  <c r="G13" i="85" a="1"/>
  <c r="F31" i="85" s="1"/>
  <c r="D13" i="85" a="1"/>
  <c r="D13" i="85" s="1"/>
  <c r="E11" i="85" a="1"/>
  <c r="E11" i="85" s="1"/>
  <c r="K40" i="85" s="1"/>
  <c r="E10" i="85" a="1"/>
  <c r="E10" i="85" s="1"/>
  <c r="D6" i="85" a="1"/>
  <c r="D6" i="85" s="1"/>
  <c r="D5" i="85" a="1"/>
  <c r="D5" i="85" s="1"/>
  <c r="P292" i="84" a="1"/>
  <c r="P292" i="84" s="1"/>
  <c r="F292" i="84" a="1"/>
  <c r="F292" i="84" s="1"/>
  <c r="N289" i="84" a="1"/>
  <c r="N289" i="84" s="1"/>
  <c r="D289" i="84" a="1"/>
  <c r="D289" i="84" s="1"/>
  <c r="N285" i="84"/>
  <c r="D285" i="84"/>
  <c r="A285" i="84"/>
  <c r="O284" i="84"/>
  <c r="N284" i="84"/>
  <c r="E284" i="84"/>
  <c r="D284" i="84"/>
  <c r="O283" i="84"/>
  <c r="N283" i="84"/>
  <c r="E283" i="84"/>
  <c r="D283" i="84"/>
  <c r="O282" i="84"/>
  <c r="N282" i="84"/>
  <c r="E282" i="84"/>
  <c r="D282" i="84"/>
  <c r="N281" i="84"/>
  <c r="D281" i="84"/>
  <c r="O280" i="84"/>
  <c r="N280" i="84"/>
  <c r="E280" i="84"/>
  <c r="D280" i="84"/>
  <c r="O279" i="84"/>
  <c r="N279" i="84"/>
  <c r="E279" i="84"/>
  <c r="D279" i="84"/>
  <c r="O278" i="84"/>
  <c r="N278" i="84"/>
  <c r="E278" i="84"/>
  <c r="D278" i="84"/>
  <c r="I263" i="84" a="1"/>
  <c r="I263" i="84" s="1"/>
  <c r="I262" i="84" a="1"/>
  <c r="I262" i="84" s="1"/>
  <c r="G262" i="84" a="1"/>
  <c r="G262" i="84" s="1"/>
  <c r="D262" i="84" a="1"/>
  <c r="D262" i="84" s="1"/>
  <c r="E260" i="84" a="1"/>
  <c r="E260" i="84" s="1"/>
  <c r="E259" i="84" a="1"/>
  <c r="E259" i="84" s="1"/>
  <c r="D255" i="84" a="1"/>
  <c r="D255" i="84" s="1"/>
  <c r="D254" i="84" a="1"/>
  <c r="D254" i="84" s="1"/>
  <c r="N250" i="84"/>
  <c r="D250" i="84"/>
  <c r="O249" i="84"/>
  <c r="N249" i="84"/>
  <c r="E249" i="84"/>
  <c r="D249" i="84"/>
  <c r="O248" i="84"/>
  <c r="N248" i="84"/>
  <c r="E248" i="84"/>
  <c r="D248" i="84"/>
  <c r="O247" i="84"/>
  <c r="N247" i="84"/>
  <c r="E247" i="84"/>
  <c r="D247" i="84"/>
  <c r="N246" i="84"/>
  <c r="D246" i="84"/>
  <c r="O245" i="84"/>
  <c r="N245" i="84"/>
  <c r="E245" i="84"/>
  <c r="D245" i="84"/>
  <c r="A245" i="84"/>
  <c r="O244" i="84"/>
  <c r="N244" i="84"/>
  <c r="E244" i="84"/>
  <c r="D244" i="84"/>
  <c r="O243" i="84"/>
  <c r="N243" i="84"/>
  <c r="E243" i="84"/>
  <c r="D243" i="84"/>
  <c r="T238" i="84" a="1"/>
  <c r="T238" i="84" s="1"/>
  <c r="S238" i="84" a="1"/>
  <c r="S238" i="84" s="1"/>
  <c r="R238" i="84" a="1"/>
  <c r="R238" i="84" s="1"/>
  <c r="Q238" i="84" a="1"/>
  <c r="Q238" i="84" s="1"/>
  <c r="P238" i="84" a="1"/>
  <c r="P238" i="84" s="1"/>
  <c r="O238" i="84"/>
  <c r="N238" i="84"/>
  <c r="J238" i="84" a="1"/>
  <c r="J238" i="84" s="1"/>
  <c r="I238" i="84" a="1"/>
  <c r="I238" i="84" s="1"/>
  <c r="H238" i="84" a="1"/>
  <c r="H238" i="84" s="1"/>
  <c r="G238" i="84" a="1"/>
  <c r="G238" i="84" s="1"/>
  <c r="F238" i="84" a="1"/>
  <c r="F238" i="84" s="1"/>
  <c r="D238" i="84"/>
  <c r="T237" i="84" a="1"/>
  <c r="T237" i="84" s="1"/>
  <c r="S237" i="84" a="1"/>
  <c r="S237" i="84" s="1"/>
  <c r="R237" i="84" a="1"/>
  <c r="R237" i="84" s="1"/>
  <c r="Q237" i="84" a="1"/>
  <c r="Q237" i="84" s="1"/>
  <c r="P237" i="84" a="1"/>
  <c r="P237" i="84" s="1"/>
  <c r="O237" i="84"/>
  <c r="N237" i="84"/>
  <c r="J237" i="84" a="1"/>
  <c r="J237" i="84" s="1"/>
  <c r="I237" i="84" a="1"/>
  <c r="I237" i="84" s="1"/>
  <c r="H237" i="84" a="1"/>
  <c r="H237" i="84" s="1"/>
  <c r="G237" i="84" a="1"/>
  <c r="G237" i="84" s="1"/>
  <c r="F237" i="84" a="1"/>
  <c r="F237" i="84" s="1"/>
  <c r="E237" i="84"/>
  <c r="D237" i="84"/>
  <c r="T236" i="84" a="1"/>
  <c r="T236" i="84" s="1"/>
  <c r="S236" i="84" a="1"/>
  <c r="S236" i="84" s="1"/>
  <c r="R236" i="84" a="1"/>
  <c r="R236" i="84" s="1"/>
  <c r="Q236" i="84" a="1"/>
  <c r="Q236" i="84" s="1"/>
  <c r="P236" i="84" a="1"/>
  <c r="P236" i="84" s="1"/>
  <c r="O236" i="84"/>
  <c r="N236" i="84"/>
  <c r="J236" i="84" a="1"/>
  <c r="J236" i="84" s="1"/>
  <c r="I236" i="84" a="1"/>
  <c r="I236" i="84" s="1"/>
  <c r="H236" i="84" a="1"/>
  <c r="H236" i="84" s="1"/>
  <c r="G236" i="84" a="1"/>
  <c r="G236" i="84" s="1"/>
  <c r="F236" i="84" a="1"/>
  <c r="F236" i="84" s="1"/>
  <c r="E236" i="84"/>
  <c r="D236" i="84"/>
  <c r="T235" i="84" a="1"/>
  <c r="T235" i="84" s="1"/>
  <c r="S235" i="84" a="1"/>
  <c r="S235" i="84" s="1"/>
  <c r="R235" i="84" a="1"/>
  <c r="R235" i="84" s="1"/>
  <c r="Q235" i="84" a="1"/>
  <c r="Q235" i="84" s="1"/>
  <c r="P235" i="84" a="1"/>
  <c r="P235" i="84" s="1"/>
  <c r="O235" i="84"/>
  <c r="N235" i="84"/>
  <c r="J235" i="84" a="1"/>
  <c r="J235" i="84" s="1"/>
  <c r="I235" i="84" a="1"/>
  <c r="I235" i="84" s="1"/>
  <c r="H235" i="84" a="1"/>
  <c r="H235" i="84" s="1"/>
  <c r="G235" i="84" a="1"/>
  <c r="G235" i="84" s="1"/>
  <c r="F235" i="84" a="1"/>
  <c r="F235" i="84" s="1"/>
  <c r="E235" i="84"/>
  <c r="D235" i="84"/>
  <c r="T234" i="84" a="1"/>
  <c r="T234" i="84" s="1"/>
  <c r="S234" i="84" a="1"/>
  <c r="S234" i="84" s="1"/>
  <c r="R234" i="84" a="1"/>
  <c r="R234" i="84" s="1"/>
  <c r="Q234" i="84" a="1"/>
  <c r="Q234" i="84" s="1"/>
  <c r="P234" i="84" a="1"/>
  <c r="P234" i="84" s="1"/>
  <c r="N234" i="84"/>
  <c r="J234" i="84" a="1"/>
  <c r="J234" i="84" s="1"/>
  <c r="I234" i="84" a="1"/>
  <c r="I234" i="84" s="1"/>
  <c r="H234" i="84" a="1"/>
  <c r="H234" i="84" s="1"/>
  <c r="G234" i="84" a="1"/>
  <c r="G234" i="84" s="1"/>
  <c r="F234" i="84" a="1"/>
  <c r="F234" i="84" s="1"/>
  <c r="D234" i="84"/>
  <c r="T233" i="84" a="1"/>
  <c r="T233" i="84" s="1"/>
  <c r="S233" i="84" a="1"/>
  <c r="S233" i="84" s="1"/>
  <c r="R233" i="84" a="1"/>
  <c r="R233" i="84" s="1"/>
  <c r="Q233" i="84" a="1"/>
  <c r="Q233" i="84" s="1"/>
  <c r="P233" i="84" a="1"/>
  <c r="P233" i="84" s="1"/>
  <c r="O233" i="84"/>
  <c r="N233" i="84"/>
  <c r="J233" i="84" a="1"/>
  <c r="J233" i="84" s="1"/>
  <c r="I233" i="84" a="1"/>
  <c r="I233" i="84" s="1"/>
  <c r="H233" i="84" a="1"/>
  <c r="H233" i="84" s="1"/>
  <c r="G233" i="84" a="1"/>
  <c r="G233" i="84" s="1"/>
  <c r="F233" i="84" a="1"/>
  <c r="F233" i="84" s="1"/>
  <c r="E233" i="84"/>
  <c r="D233" i="84"/>
  <c r="T232" i="84" a="1"/>
  <c r="T232" i="84" s="1"/>
  <c r="S232" i="84" a="1"/>
  <c r="S232" i="84" s="1"/>
  <c r="R232" i="84" a="1"/>
  <c r="R232" i="84" s="1"/>
  <c r="Q232" i="84" a="1"/>
  <c r="Q232" i="84" s="1"/>
  <c r="P232" i="84" a="1"/>
  <c r="P232" i="84" s="1"/>
  <c r="O232" i="84"/>
  <c r="N232" i="84"/>
  <c r="J232" i="84" a="1"/>
  <c r="J232" i="84" s="1"/>
  <c r="I232" i="84" a="1"/>
  <c r="I232" i="84" s="1"/>
  <c r="H232" i="84" a="1"/>
  <c r="H232" i="84" s="1"/>
  <c r="G232" i="84" a="1"/>
  <c r="G232" i="84" s="1"/>
  <c r="F232" i="84" a="1"/>
  <c r="F232" i="84" s="1"/>
  <c r="E232" i="84"/>
  <c r="D232" i="84"/>
  <c r="T231" i="84" a="1"/>
  <c r="T231" i="84" s="1"/>
  <c r="S231" i="84" a="1"/>
  <c r="S231" i="84" s="1"/>
  <c r="R231" i="84" a="1"/>
  <c r="R231" i="84" s="1"/>
  <c r="Q231" i="84" a="1"/>
  <c r="Q231" i="84" s="1"/>
  <c r="P231" i="84" a="1"/>
  <c r="P231" i="84" s="1"/>
  <c r="O231" i="84"/>
  <c r="N231" i="84"/>
  <c r="J231" i="84" a="1"/>
  <c r="J231" i="84" s="1"/>
  <c r="I231" i="84" a="1"/>
  <c r="I231" i="84" s="1"/>
  <c r="H231" i="84" a="1"/>
  <c r="H231" i="84" s="1"/>
  <c r="G231" i="84" a="1"/>
  <c r="G231" i="84" s="1"/>
  <c r="F231" i="84" a="1"/>
  <c r="F231" i="84" s="1"/>
  <c r="E231" i="84"/>
  <c r="D231" i="84"/>
  <c r="J226" i="84" a="1"/>
  <c r="J226" i="84" s="1"/>
  <c r="I226" i="84" a="1"/>
  <c r="I226" i="84" s="1"/>
  <c r="J225" i="84" a="1"/>
  <c r="J225" i="84" s="1"/>
  <c r="I225" i="84" a="1"/>
  <c r="I225" i="84" s="1"/>
  <c r="G225" i="84" a="1"/>
  <c r="G225" i="84" s="1"/>
  <c r="D225" i="84" a="1"/>
  <c r="D225" i="84" s="1"/>
  <c r="E223" i="84" a="1"/>
  <c r="E223" i="84" s="1"/>
  <c r="E222" i="84" a="1"/>
  <c r="E222" i="84" s="1"/>
  <c r="D218" i="84" a="1"/>
  <c r="D218" i="84" s="1"/>
  <c r="D217" i="84" a="1"/>
  <c r="D217" i="84" s="1"/>
  <c r="R208" i="84"/>
  <c r="Q208" i="84"/>
  <c r="P208" i="84"/>
  <c r="O208" i="84"/>
  <c r="N208" i="84"/>
  <c r="H208" i="84"/>
  <c r="G208" i="84"/>
  <c r="F208" i="84"/>
  <c r="E208" i="84"/>
  <c r="D208" i="84"/>
  <c r="A208" i="84"/>
  <c r="R203" i="84"/>
  <c r="P203" i="84"/>
  <c r="H203" i="84"/>
  <c r="F203" i="84"/>
  <c r="I193" i="84" a="1"/>
  <c r="I193" i="84" s="1"/>
  <c r="I192" i="84" a="1"/>
  <c r="I192" i="84" s="1"/>
  <c r="I191" i="84" a="1"/>
  <c r="I191" i="84" s="1"/>
  <c r="I190" i="84" a="1"/>
  <c r="I190" i="84" s="1"/>
  <c r="I189" i="84" a="1"/>
  <c r="I189" i="84" s="1"/>
  <c r="G189" i="84" a="1"/>
  <c r="G189" i="84" s="1"/>
  <c r="D189" i="84" a="1"/>
  <c r="D189" i="84" s="1"/>
  <c r="E187" i="84" a="1"/>
  <c r="E187" i="84" s="1"/>
  <c r="S213" i="84" s="1"/>
  <c r="E186" i="84" a="1"/>
  <c r="E186" i="84" s="1"/>
  <c r="D182" i="84" a="1"/>
  <c r="D182" i="84" s="1"/>
  <c r="D181" i="84" a="1"/>
  <c r="D181" i="84" s="1"/>
  <c r="D180" i="84" a="1"/>
  <c r="D180" i="84" s="1"/>
  <c r="Q171" i="84"/>
  <c r="O171" i="84"/>
  <c r="N171" i="84"/>
  <c r="G171" i="84"/>
  <c r="E171" i="84"/>
  <c r="D171" i="84"/>
  <c r="A171" i="84"/>
  <c r="H166" i="84"/>
  <c r="G166" i="84"/>
  <c r="F166" i="84"/>
  <c r="E166" i="84"/>
  <c r="D166" i="84"/>
  <c r="I161" i="84" a="1"/>
  <c r="I161" i="84" s="1"/>
  <c r="I160" i="84" a="1"/>
  <c r="I160" i="84" s="1"/>
  <c r="I159" i="84" a="1"/>
  <c r="I159" i="84" s="1"/>
  <c r="G159" i="84" a="1"/>
  <c r="G159" i="84" s="1"/>
  <c r="I166" i="84" s="1"/>
  <c r="D159" i="84" a="1"/>
  <c r="D159" i="84" s="1"/>
  <c r="E157" i="84" a="1"/>
  <c r="E157" i="84" s="1"/>
  <c r="E156" i="84" a="1"/>
  <c r="E156" i="84" s="1"/>
  <c r="D152" i="84" a="1"/>
  <c r="D152" i="84" s="1"/>
  <c r="D151" i="84" a="1"/>
  <c r="D151" i="84" s="1"/>
  <c r="D150" i="84" a="1"/>
  <c r="D150" i="84" s="1"/>
  <c r="I141" i="84" a="1"/>
  <c r="I141" i="84" s="1"/>
  <c r="I140" i="84" a="1"/>
  <c r="I140" i="84" s="1"/>
  <c r="I139" i="84" a="1"/>
  <c r="I139" i="84" s="1"/>
  <c r="G139" i="84" a="1"/>
  <c r="G139" i="84" s="1"/>
  <c r="D139" i="84" a="1"/>
  <c r="D139" i="84" s="1"/>
  <c r="E137" i="84" a="1"/>
  <c r="E137" i="84" s="1"/>
  <c r="E136" i="84" a="1"/>
  <c r="E136" i="84" s="1"/>
  <c r="D131" i="84" a="1"/>
  <c r="D131" i="84" s="1"/>
  <c r="D130" i="84" a="1"/>
  <c r="D130" i="84" s="1"/>
  <c r="R121" i="84"/>
  <c r="Q121" i="84"/>
  <c r="P121" i="84"/>
  <c r="O121" i="84"/>
  <c r="N121" i="84"/>
  <c r="H121" i="84"/>
  <c r="G121" i="84"/>
  <c r="F121" i="84"/>
  <c r="E121" i="84"/>
  <c r="D121" i="84"/>
  <c r="H116" i="84" a="1"/>
  <c r="H116" i="84" s="1"/>
  <c r="H115" i="84" a="1"/>
  <c r="H115" i="84" s="1"/>
  <c r="D115" i="84" a="1"/>
  <c r="D115" i="84" s="1"/>
  <c r="E113" i="84" a="1"/>
  <c r="E113" i="84" s="1"/>
  <c r="E112" i="84" a="1"/>
  <c r="E112" i="84" s="1"/>
  <c r="D108" i="84" a="1"/>
  <c r="D108" i="84" s="1"/>
  <c r="D107" i="84" a="1"/>
  <c r="D107" i="84" s="1"/>
  <c r="R98" i="84"/>
  <c r="Q98" i="84"/>
  <c r="P98" i="84"/>
  <c r="O98" i="84"/>
  <c r="N98" i="84"/>
  <c r="H98" i="84"/>
  <c r="G98" i="84"/>
  <c r="F98" i="84"/>
  <c r="E98" i="84"/>
  <c r="D98" i="84"/>
  <c r="I83" i="84" a="1"/>
  <c r="I83" i="84" s="1"/>
  <c r="I82" i="84" a="1"/>
  <c r="I82" i="84" s="1"/>
  <c r="I81" i="84" a="1"/>
  <c r="I81" i="84" s="1"/>
  <c r="I80" i="84" a="1"/>
  <c r="I80" i="84" s="1"/>
  <c r="I79" i="84" a="1"/>
  <c r="I79" i="84" s="1"/>
  <c r="I78" i="84"/>
  <c r="G78" i="84" a="1"/>
  <c r="S98" i="84" s="1"/>
  <c r="D78" i="84" a="1"/>
  <c r="D78" i="84" s="1"/>
  <c r="E76" i="84" a="1"/>
  <c r="E76" i="84" s="1"/>
  <c r="E75" i="84" a="1"/>
  <c r="E75" i="84" s="1"/>
  <c r="D71" i="84" a="1"/>
  <c r="D71" i="84" s="1"/>
  <c r="D70" i="84" a="1"/>
  <c r="D70" i="84" s="1"/>
  <c r="D69" i="84" a="1"/>
  <c r="D69" i="84" s="1"/>
  <c r="I45" i="84" a="1"/>
  <c r="I45" i="84" s="1"/>
  <c r="I44" i="84" a="1"/>
  <c r="I44" i="84" s="1"/>
  <c r="I43" i="84" a="1"/>
  <c r="I43" i="84" s="1"/>
  <c r="I42" i="84" a="1"/>
  <c r="I42" i="84" s="1"/>
  <c r="G42" i="84" a="1"/>
  <c r="I55" i="84" s="1"/>
  <c r="D42" i="84" a="1"/>
  <c r="D42" i="84" s="1"/>
  <c r="E40" i="84" a="1"/>
  <c r="E40" i="84" s="1"/>
  <c r="E39" i="84" a="1"/>
  <c r="E39" i="84" s="1"/>
  <c r="D34" i="84" a="1"/>
  <c r="D34" i="84" s="1"/>
  <c r="D33" i="84" a="1"/>
  <c r="D33" i="84" s="1"/>
  <c r="R19" i="84"/>
  <c r="Q19" i="84"/>
  <c r="P19" i="84"/>
  <c r="O19" i="84"/>
  <c r="N19" i="84"/>
  <c r="H19" i="84"/>
  <c r="G19" i="84"/>
  <c r="F19" i="84"/>
  <c r="E19" i="84"/>
  <c r="D19" i="84"/>
  <c r="H14" i="84" a="1"/>
  <c r="H14" i="84" s="1"/>
  <c r="H13" i="84" a="1"/>
  <c r="H13" i="84" s="1"/>
  <c r="F13" i="84" a="1"/>
  <c r="F13" i="84" s="1"/>
  <c r="D13" i="84" a="1"/>
  <c r="D13" i="84" s="1"/>
  <c r="E11" i="84" a="1"/>
  <c r="E11" i="84" s="1"/>
  <c r="E10" i="84" a="1"/>
  <c r="E10" i="84" s="1"/>
  <c r="D6" i="84" a="1"/>
  <c r="D6" i="84" s="1"/>
  <c r="D5" i="84" a="1"/>
  <c r="D5" i="84" s="1"/>
  <c r="Q305" i="83" a="1"/>
  <c r="Q305" i="83" s="1"/>
  <c r="F305" i="83" a="1"/>
  <c r="F305" i="83" s="1"/>
  <c r="O302" i="83" a="1"/>
  <c r="O302" i="83" s="1"/>
  <c r="D302" i="83" a="1"/>
  <c r="D302" i="83" s="1"/>
  <c r="O298" i="83"/>
  <c r="D298" i="83"/>
  <c r="P297" i="83"/>
  <c r="O297" i="83"/>
  <c r="E297" i="83"/>
  <c r="D297" i="83"/>
  <c r="P296" i="83"/>
  <c r="O296" i="83"/>
  <c r="E296" i="83"/>
  <c r="D296" i="83"/>
  <c r="P295" i="83"/>
  <c r="O295" i="83"/>
  <c r="E295" i="83"/>
  <c r="D295" i="83"/>
  <c r="O294" i="83"/>
  <c r="D294" i="83"/>
  <c r="P293" i="83"/>
  <c r="O293" i="83"/>
  <c r="E293" i="83"/>
  <c r="D293" i="83"/>
  <c r="P292" i="83"/>
  <c r="O292" i="83"/>
  <c r="E292" i="83"/>
  <c r="D292" i="83"/>
  <c r="P291" i="83"/>
  <c r="O291" i="83"/>
  <c r="E291" i="83"/>
  <c r="D291" i="83"/>
  <c r="O290" i="83"/>
  <c r="D290" i="83"/>
  <c r="S285" i="83"/>
  <c r="R285" i="83"/>
  <c r="Q285" i="83"/>
  <c r="P285" i="83"/>
  <c r="O285" i="83"/>
  <c r="H285" i="83"/>
  <c r="G285" i="83"/>
  <c r="F285" i="83"/>
  <c r="E285" i="83"/>
  <c r="D285" i="83"/>
  <c r="S275" i="83"/>
  <c r="R275" i="83"/>
  <c r="Q275" i="83"/>
  <c r="P275" i="83"/>
  <c r="O275" i="83"/>
  <c r="H275" i="83"/>
  <c r="G275" i="83"/>
  <c r="F275" i="83"/>
  <c r="E275" i="83"/>
  <c r="D275" i="83"/>
  <c r="A275" i="83"/>
  <c r="H270" i="83"/>
  <c r="G270" i="83"/>
  <c r="F270" i="83"/>
  <c r="E270" i="83"/>
  <c r="D270" i="83"/>
  <c r="J265" i="83" a="1"/>
  <c r="J265" i="83" s="1"/>
  <c r="J264" i="83" a="1"/>
  <c r="J264" i="83" s="1"/>
  <c r="J263" i="83" a="1"/>
  <c r="J263" i="83" s="1"/>
  <c r="J262" i="83" a="1"/>
  <c r="J262" i="83" s="1"/>
  <c r="J261" i="83" a="1"/>
  <c r="J261" i="83" s="1"/>
  <c r="J260" i="83" a="1"/>
  <c r="J260" i="83" s="1"/>
  <c r="J259" i="83" a="1"/>
  <c r="J259" i="83" s="1"/>
  <c r="J258" i="83" a="1"/>
  <c r="J258" i="83" s="1"/>
  <c r="H258" i="83" a="1"/>
  <c r="H258" i="83" s="1"/>
  <c r="D258" i="83" a="1"/>
  <c r="D258" i="83" s="1"/>
  <c r="E256" i="83" a="1"/>
  <c r="E256" i="83" s="1"/>
  <c r="E255" i="83" a="1"/>
  <c r="E255" i="83" s="1"/>
  <c r="D251" i="83" a="1"/>
  <c r="D251" i="83" s="1"/>
  <c r="D250" i="83" a="1"/>
  <c r="D250" i="83" s="1"/>
  <c r="D249" i="83" a="1"/>
  <c r="D249" i="83" s="1"/>
  <c r="O245" i="83"/>
  <c r="D245" i="83"/>
  <c r="P244" i="83"/>
  <c r="O244" i="83"/>
  <c r="E244" i="83"/>
  <c r="D244" i="83"/>
  <c r="P243" i="83"/>
  <c r="O243" i="83"/>
  <c r="E243" i="83"/>
  <c r="D243" i="83"/>
  <c r="P242" i="83"/>
  <c r="O242" i="83"/>
  <c r="E242" i="83"/>
  <c r="D242" i="83"/>
  <c r="O241" i="83"/>
  <c r="D241" i="83"/>
  <c r="P240" i="83"/>
  <c r="O240" i="83"/>
  <c r="E240" i="83"/>
  <c r="D240" i="83"/>
  <c r="P239" i="83"/>
  <c r="O239" i="83"/>
  <c r="E239" i="83"/>
  <c r="D239" i="83"/>
  <c r="P238" i="83"/>
  <c r="O238" i="83"/>
  <c r="E238" i="83"/>
  <c r="D238" i="83"/>
  <c r="O237" i="83"/>
  <c r="D237" i="83"/>
  <c r="T223" i="83"/>
  <c r="I222" i="83"/>
  <c r="T220" i="83" a="1"/>
  <c r="T220" i="83" s="1"/>
  <c r="I220" i="83" a="1"/>
  <c r="I220" i="83" s="1"/>
  <c r="J219" i="83" a="1"/>
  <c r="J219" i="83" s="1"/>
  <c r="I219" i="83" a="1"/>
  <c r="I219" i="83" s="1"/>
  <c r="R218" i="83" a="1"/>
  <c r="R218" i="83" s="1"/>
  <c r="O218" i="83" a="1"/>
  <c r="O218" i="83" s="1"/>
  <c r="I218" i="83" a="1"/>
  <c r="I218" i="83" s="1"/>
  <c r="G218" i="83" a="1"/>
  <c r="G218" i="83" s="1"/>
  <c r="D218" i="83" a="1"/>
  <c r="D218" i="83" s="1"/>
  <c r="A217" i="83"/>
  <c r="E216" i="83" a="1"/>
  <c r="E216" i="83" s="1"/>
  <c r="E215" i="83" a="1"/>
  <c r="E215" i="83" s="1"/>
  <c r="D211" i="83" a="1"/>
  <c r="D211" i="83" s="1"/>
  <c r="D210" i="83" a="1"/>
  <c r="D210" i="83" s="1"/>
  <c r="O206" i="83"/>
  <c r="D206" i="83"/>
  <c r="O205" i="83"/>
  <c r="D205" i="83"/>
  <c r="Q200" i="83" a="1"/>
  <c r="Q200" i="83" s="1"/>
  <c r="P200" i="83"/>
  <c r="O200" i="83"/>
  <c r="F200" i="83" a="1"/>
  <c r="F200" i="83" s="1"/>
  <c r="E200" i="83"/>
  <c r="D200" i="83"/>
  <c r="Q199" i="83" a="1"/>
  <c r="P199" i="83"/>
  <c r="O199" i="83"/>
  <c r="F199" i="83" a="1"/>
  <c r="E199" i="83"/>
  <c r="D199" i="83"/>
  <c r="I194" i="83" a="1"/>
  <c r="I194" i="83" s="1"/>
  <c r="I193" i="83" a="1"/>
  <c r="I193" i="83" s="1"/>
  <c r="I192" i="83" a="1"/>
  <c r="I192" i="83" s="1"/>
  <c r="G192" i="83" a="1"/>
  <c r="G192" i="83" s="1"/>
  <c r="D192" i="83" a="1"/>
  <c r="D192" i="83" s="1"/>
  <c r="E190" i="83" a="1"/>
  <c r="E190" i="83" s="1"/>
  <c r="E189" i="83" a="1"/>
  <c r="E189" i="83" s="1"/>
  <c r="D185" i="83" a="1"/>
  <c r="D185" i="83" s="1"/>
  <c r="D184" i="83" a="1"/>
  <c r="D184" i="83" s="1"/>
  <c r="D183" i="83" a="1"/>
  <c r="D183" i="83" s="1"/>
  <c r="P179" i="83"/>
  <c r="O179" i="83"/>
  <c r="E179" i="83"/>
  <c r="D179" i="83"/>
  <c r="P178" i="83"/>
  <c r="O178" i="83"/>
  <c r="E178" i="83"/>
  <c r="D178" i="83"/>
  <c r="A178" i="83"/>
  <c r="P177" i="83"/>
  <c r="O177" i="83"/>
  <c r="E177" i="83"/>
  <c r="D177" i="83"/>
  <c r="P176" i="83"/>
  <c r="O176" i="83"/>
  <c r="E176" i="83"/>
  <c r="D176" i="83"/>
  <c r="P175" i="83"/>
  <c r="O175" i="83"/>
  <c r="E175" i="83"/>
  <c r="D175" i="83"/>
  <c r="P174" i="83"/>
  <c r="O174" i="83"/>
  <c r="E174" i="83"/>
  <c r="D174" i="83"/>
  <c r="O173" i="83"/>
  <c r="D173" i="83"/>
  <c r="Q168" i="83"/>
  <c r="P168" i="83"/>
  <c r="O168" i="83"/>
  <c r="F168" i="83"/>
  <c r="E168" i="83"/>
  <c r="D168" i="83"/>
  <c r="Q167" i="83"/>
  <c r="P167" i="83"/>
  <c r="O167" i="83"/>
  <c r="F167" i="83"/>
  <c r="E167" i="83"/>
  <c r="D167" i="83"/>
  <c r="Q166" i="83"/>
  <c r="P166" i="83"/>
  <c r="O166" i="83"/>
  <c r="F166" i="83"/>
  <c r="E166" i="83"/>
  <c r="D166" i="83"/>
  <c r="Q165" i="83"/>
  <c r="P165" i="83"/>
  <c r="O165" i="83"/>
  <c r="F165" i="83"/>
  <c r="E165" i="83"/>
  <c r="D165" i="83"/>
  <c r="Q164" i="83"/>
  <c r="P164" i="83"/>
  <c r="O164" i="83"/>
  <c r="F164" i="83"/>
  <c r="E164" i="83"/>
  <c r="D164" i="83"/>
  <c r="Q163" i="83"/>
  <c r="P163" i="83"/>
  <c r="O163" i="83"/>
  <c r="F163" i="83"/>
  <c r="E163" i="83"/>
  <c r="D163" i="83"/>
  <c r="O162" i="83"/>
  <c r="D162" i="83"/>
  <c r="Q157" i="83" a="1"/>
  <c r="P157" i="83"/>
  <c r="O157" i="83"/>
  <c r="F157" i="83" a="1"/>
  <c r="F157" i="83" s="1"/>
  <c r="E157" i="83"/>
  <c r="D157" i="83"/>
  <c r="Q156" i="83" a="1"/>
  <c r="P156" i="83"/>
  <c r="O156" i="83"/>
  <c r="F156" i="83" a="1"/>
  <c r="E156" i="83"/>
  <c r="D156" i="83"/>
  <c r="Q155" i="83" a="1"/>
  <c r="P155" i="83"/>
  <c r="O155" i="83"/>
  <c r="F155" i="83" a="1"/>
  <c r="F155" i="83" s="1"/>
  <c r="E155" i="83"/>
  <c r="D155" i="83"/>
  <c r="Q154" i="83" a="1"/>
  <c r="P154" i="83"/>
  <c r="O154" i="83"/>
  <c r="F154" i="83" a="1"/>
  <c r="E154" i="83"/>
  <c r="D154" i="83"/>
  <c r="Q153" i="83" a="1"/>
  <c r="Q153" i="83" s="1"/>
  <c r="P153" i="83"/>
  <c r="O153" i="83"/>
  <c r="F153" i="83" a="1"/>
  <c r="E153" i="83"/>
  <c r="D153" i="83"/>
  <c r="Q152" i="83" a="1"/>
  <c r="P152" i="83"/>
  <c r="O152" i="83"/>
  <c r="F152" i="83" a="1"/>
  <c r="F152" i="83" s="1"/>
  <c r="E152" i="83"/>
  <c r="D152" i="83"/>
  <c r="Q151" i="83" a="1"/>
  <c r="U173" i="83" s="1" a="1"/>
  <c r="U173" i="83" s="1"/>
  <c r="O151" i="83"/>
  <c r="F151" i="83" a="1"/>
  <c r="D151" i="83"/>
  <c r="I146" i="83" a="1"/>
  <c r="I146" i="83" s="1"/>
  <c r="I145" i="83" a="1"/>
  <c r="I145" i="83" s="1"/>
  <c r="G145" i="83" a="1"/>
  <c r="G145" i="83" s="1"/>
  <c r="K151" i="83" s="1"/>
  <c r="D145" i="83" a="1"/>
  <c r="D145" i="83" s="1"/>
  <c r="E143" i="83" a="1"/>
  <c r="E143" i="83" s="1"/>
  <c r="E142" i="83" a="1"/>
  <c r="E142" i="83" s="1"/>
  <c r="D138" i="83" a="1"/>
  <c r="D138" i="83" s="1"/>
  <c r="D137" i="83" a="1"/>
  <c r="D137" i="83" s="1"/>
  <c r="I127" i="83" a="1"/>
  <c r="I127" i="83" s="1"/>
  <c r="I126" i="83" a="1"/>
  <c r="I126" i="83" s="1"/>
  <c r="G126" i="83" a="1"/>
  <c r="G126" i="83" s="1"/>
  <c r="D126" i="83" a="1"/>
  <c r="D126" i="83" s="1"/>
  <c r="E124" i="83" a="1"/>
  <c r="E124" i="83" s="1"/>
  <c r="E123" i="83" a="1"/>
  <c r="E123" i="83" s="1"/>
  <c r="D119" i="83" a="1"/>
  <c r="D119" i="83" s="1"/>
  <c r="D118" i="83" a="1"/>
  <c r="D118" i="83" s="1"/>
  <c r="S104" i="83"/>
  <c r="R104" i="83"/>
  <c r="Q104" i="83"/>
  <c r="P104" i="83"/>
  <c r="O104" i="83"/>
  <c r="H104" i="83"/>
  <c r="G104" i="83"/>
  <c r="F104" i="83"/>
  <c r="E104" i="83"/>
  <c r="D104" i="83"/>
  <c r="S99" i="83"/>
  <c r="R99" i="83"/>
  <c r="Q99" i="83"/>
  <c r="P99" i="83"/>
  <c r="O99" i="83"/>
  <c r="H99" i="83"/>
  <c r="G99" i="83"/>
  <c r="F99" i="83"/>
  <c r="E99" i="83"/>
  <c r="D99" i="83"/>
  <c r="I94" i="83" a="1"/>
  <c r="I94" i="83" s="1"/>
  <c r="I93" i="83" a="1"/>
  <c r="I93" i="83" s="1"/>
  <c r="I92" i="83" a="1"/>
  <c r="I92" i="83" s="1"/>
  <c r="I91" i="83" a="1"/>
  <c r="I91" i="83" s="1"/>
  <c r="G91" i="83" a="1"/>
  <c r="G91" i="83" s="1"/>
  <c r="D91" i="83" a="1"/>
  <c r="D91" i="83" s="1"/>
  <c r="E89" i="83" a="1"/>
  <c r="E89" i="83" s="1"/>
  <c r="E88" i="83" a="1"/>
  <c r="E88" i="83" s="1"/>
  <c r="D84" i="83" a="1"/>
  <c r="D84" i="83" s="1"/>
  <c r="D83" i="83" a="1"/>
  <c r="D83" i="83" s="1"/>
  <c r="I68" i="83" a="1"/>
  <c r="I68" i="83" s="1"/>
  <c r="I64" i="83" a="1"/>
  <c r="I64" i="83" s="1"/>
  <c r="I63" i="83" a="1"/>
  <c r="I63" i="83" s="1"/>
  <c r="I62" i="83"/>
  <c r="G62" i="83" a="1"/>
  <c r="G62" i="83" s="1"/>
  <c r="D62" i="83" a="1"/>
  <c r="D62" i="83" s="1"/>
  <c r="E60" i="83" a="1"/>
  <c r="E60" i="83" s="1"/>
  <c r="E59" i="83" a="1"/>
  <c r="E59" i="83" s="1"/>
  <c r="D55" i="83" a="1"/>
  <c r="D55" i="83" s="1"/>
  <c r="D54" i="83" a="1"/>
  <c r="D54" i="83" s="1"/>
  <c r="T40" i="83"/>
  <c r="I40" i="83"/>
  <c r="T39" i="83"/>
  <c r="I39" i="83"/>
  <c r="I38" i="83" a="1"/>
  <c r="I38" i="83" s="1"/>
  <c r="R37" i="83" a="1"/>
  <c r="R37" i="83" s="1"/>
  <c r="O37" i="83" a="1"/>
  <c r="O37" i="83" s="1"/>
  <c r="I37" i="83"/>
  <c r="D45" i="83" s="1"/>
  <c r="G37" i="83" a="1"/>
  <c r="G37" i="83" s="1"/>
  <c r="D37" i="83" a="1"/>
  <c r="D37" i="83" s="1"/>
  <c r="E35" i="83" a="1"/>
  <c r="E35" i="83" s="1"/>
  <c r="E34" i="83" a="1"/>
  <c r="E34" i="83" s="1"/>
  <c r="D30" i="83" a="1"/>
  <c r="D30" i="83" s="1"/>
  <c r="D29" i="83" a="1"/>
  <c r="D29" i="83" s="1"/>
  <c r="D28" i="83" a="1"/>
  <c r="D28" i="83" s="1"/>
  <c r="S19" i="83"/>
  <c r="S24" i="83" s="1" a="1"/>
  <c r="S24" i="83" s="1"/>
  <c r="R19" i="83"/>
  <c r="R24" i="83" s="1" a="1"/>
  <c r="R24" i="83" s="1"/>
  <c r="Q19" i="83"/>
  <c r="Q24" i="83" s="1" a="1"/>
  <c r="Q24" i="83" s="1"/>
  <c r="P19" i="83"/>
  <c r="P24" i="83" s="1" a="1"/>
  <c r="P24" i="83" s="1"/>
  <c r="O19" i="83"/>
  <c r="O24" i="83" s="1" a="1"/>
  <c r="O24" i="83" s="1"/>
  <c r="H19" i="83"/>
  <c r="H24" i="83" s="1" a="1"/>
  <c r="H24" i="83" s="1"/>
  <c r="G19" i="83"/>
  <c r="G24" i="83" s="1" a="1"/>
  <c r="G24" i="83" s="1"/>
  <c r="F19" i="83"/>
  <c r="F24" i="83" s="1" a="1"/>
  <c r="F24" i="83" s="1"/>
  <c r="E19" i="83"/>
  <c r="E24" i="83" s="1" a="1"/>
  <c r="E24" i="83" s="1"/>
  <c r="D19" i="83"/>
  <c r="D24" i="83" s="1" a="1"/>
  <c r="D24" i="83" s="1"/>
  <c r="I14" i="83"/>
  <c r="G14" i="83" a="1"/>
  <c r="G14" i="83" s="1"/>
  <c r="D14" i="83" a="1"/>
  <c r="D14" i="83" s="1"/>
  <c r="E12" i="83" a="1"/>
  <c r="E12" i="83" s="1"/>
  <c r="E11" i="83" a="1"/>
  <c r="E11" i="83" s="1"/>
  <c r="D7" i="83" a="1"/>
  <c r="D7" i="83" s="1"/>
  <c r="D6" i="83" a="1"/>
  <c r="D6" i="83" s="1"/>
  <c r="D5" i="83" a="1"/>
  <c r="D5" i="83" s="1"/>
  <c r="N118" i="82"/>
  <c r="E116" i="82"/>
  <c r="E115" i="82"/>
  <c r="N113" i="82"/>
  <c r="D115" i="82"/>
  <c r="E111" i="82"/>
  <c r="E110" i="82"/>
  <c r="N108" i="82"/>
  <c r="E106" i="82"/>
  <c r="D106" i="82"/>
  <c r="E105" i="82"/>
  <c r="N103" i="82"/>
  <c r="D105" i="82"/>
  <c r="D99" i="82"/>
  <c r="I96" i="82"/>
  <c r="H96" i="82"/>
  <c r="G96" i="82"/>
  <c r="F96" i="82"/>
  <c r="E96" i="82"/>
  <c r="N94" i="82"/>
  <c r="E91" i="82"/>
  <c r="N89" i="82"/>
  <c r="D92" i="82"/>
  <c r="E86" i="82"/>
  <c r="N84" i="82"/>
  <c r="E81" i="82"/>
  <c r="N79" i="82"/>
  <c r="D82" i="82"/>
  <c r="D75" i="82"/>
  <c r="F50" i="82"/>
  <c r="D29" i="82"/>
  <c r="D28" i="82"/>
  <c r="D25" i="82"/>
  <c r="D24" i="82"/>
  <c r="D10" i="82"/>
  <c r="G58" i="80"/>
  <c r="G59" i="80" s="1"/>
  <c r="G56" i="80"/>
  <c r="G57" i="80" s="1"/>
  <c r="G54" i="80"/>
  <c r="F60" i="80"/>
  <c r="F58" i="80"/>
  <c r="F59" i="80" s="1"/>
  <c r="F56" i="80"/>
  <c r="F57" i="80" s="1"/>
  <c r="F46" i="80"/>
  <c r="F50" i="80"/>
  <c r="F48" i="80"/>
  <c r="F49" i="80" s="1"/>
  <c r="E23" i="72" a="1"/>
  <c r="E23" i="72" s="1"/>
  <c r="E538" i="121"/>
  <c r="E30" i="113" a="1"/>
  <c r="E49" i="99" a="1"/>
  <c r="E86" i="92" a="1"/>
  <c r="E36" i="86" a="1"/>
  <c r="E186" i="83" a="1"/>
  <c r="O26" i="122" a="1"/>
  <c r="E7" i="112" a="1"/>
  <c r="E139" i="92" a="1"/>
  <c r="E31" i="83" a="1"/>
  <c r="E35" i="84" a="1"/>
  <c r="E433" i="121" a="1"/>
  <c r="E256" i="84" a="1"/>
  <c r="E101" i="121" a="1"/>
  <c r="E42" i="122"/>
  <c r="E273" i="121" a="1"/>
  <c r="E7" i="113" a="1"/>
  <c r="E83" i="99"/>
  <c r="E121" i="92" a="1"/>
  <c r="E7" i="86" a="1"/>
  <c r="E56" i="83" a="1"/>
  <c r="E370" i="121" a="1"/>
  <c r="E90" i="98" a="1"/>
  <c r="E7" i="85" a="1"/>
  <c r="E400" i="121" a="1"/>
  <c r="E99" i="109" a="1"/>
  <c r="E212" i="83" a="1"/>
  <c r="O7" i="122"/>
  <c r="E203" i="121" a="1"/>
  <c r="O27" i="112"/>
  <c r="E7" i="98" a="1"/>
  <c r="E57" i="92" a="1"/>
  <c r="E55" i="85"/>
  <c r="E252" i="83" a="1"/>
  <c r="E27" i="112"/>
  <c r="E31" i="92" a="1"/>
  <c r="E139" i="83" a="1"/>
  <c r="E7" i="109" a="1"/>
  <c r="E43" i="98" a="1"/>
  <c r="E8" i="83" a="1"/>
  <c r="E7" i="97" a="1"/>
  <c r="E120" i="83" a="1"/>
  <c r="E305" i="121" a="1"/>
  <c r="E42" i="94" a="1"/>
  <c r="E26" i="122" a="1"/>
  <c r="E189" i="121" a="1"/>
  <c r="E118" i="98" a="1"/>
  <c r="E72" i="84" a="1"/>
  <c r="E7" i="122"/>
  <c r="E8" i="92" a="1"/>
  <c r="O61" i="122" a="1"/>
  <c r="E37" i="90"/>
  <c r="O79" i="122"/>
  <c r="E523" i="121"/>
  <c r="L8" i="106" a="1"/>
  <c r="E7" i="96" a="1"/>
  <c r="E7" i="90" a="1"/>
  <c r="E109" i="84" a="1"/>
  <c r="E85" i="83" a="1"/>
  <c r="E38" i="96" a="1"/>
  <c r="E7" i="84" a="1"/>
  <c r="E555" i="121"/>
  <c r="E7" i="95" a="1"/>
  <c r="E218" i="121" a="1"/>
  <c r="E61" i="122" a="1"/>
  <c r="E166" i="121" a="1"/>
  <c r="E7" i="106" a="1"/>
  <c r="E7" i="89" a="1"/>
  <c r="E7" i="105" a="1"/>
  <c r="E219" i="84" a="1"/>
  <c r="E25" i="102"/>
  <c r="E132" i="84" a="1"/>
  <c r="E91" i="87" a="1"/>
  <c r="E79" i="122"/>
  <c r="E7" i="121" a="1"/>
  <c r="L7" i="105" a="1"/>
  <c r="E43" i="95" a="1"/>
  <c r="E32" i="89"/>
  <c r="E183" i="84" a="1"/>
  <c r="O42" i="122"/>
  <c r="E37" i="88" a="1"/>
  <c r="N85" i="94" a="1"/>
  <c r="E609" i="121" a="1"/>
  <c r="E338" i="121" a="1"/>
  <c r="E8" i="102"/>
  <c r="E7" i="94" a="1"/>
  <c r="E7" i="88" a="1"/>
  <c r="E153" i="84" a="1"/>
  <c r="E576" i="121" a="1"/>
  <c r="E7" i="87" a="1"/>
  <c r="E7" i="99" a="1"/>
  <c r="K40" i="106" l="1" a="1"/>
  <c r="K40" i="106" s="1"/>
  <c r="E232" i="83" a="1"/>
  <c r="E232" i="83" s="1"/>
  <c r="E228" i="83" a="1"/>
  <c r="E228" i="83" s="1"/>
  <c r="E229" i="83" a="1"/>
  <c r="E229" i="83" s="1"/>
  <c r="E230" i="83" a="1"/>
  <c r="E230" i="83" s="1"/>
  <c r="P228" i="83" a="1"/>
  <c r="P228" i="83" s="1"/>
  <c r="I56" i="99"/>
  <c r="I14" i="99"/>
  <c r="I14" i="90"/>
  <c r="E252" i="121"/>
  <c r="J252" i="121" s="1" a="1"/>
  <c r="J252" i="121" s="1"/>
  <c r="J256" i="121" a="1"/>
  <c r="J256" i="121" s="1"/>
  <c r="J255" i="121" a="1"/>
  <c r="J255" i="121" s="1"/>
  <c r="J259" i="121" a="1"/>
  <c r="J259" i="121" s="1"/>
  <c r="J258" i="121" a="1"/>
  <c r="J258" i="121" s="1"/>
  <c r="P11" i="94" a="1"/>
  <c r="E320" i="121" a="1"/>
  <c r="E320" i="121" s="1"/>
  <c r="F20" i="96" a="1"/>
  <c r="F20" i="96" s="1"/>
  <c r="P21" i="94" a="1"/>
  <c r="G20" i="96" a="1"/>
  <c r="D110" i="82"/>
  <c r="D85" i="82"/>
  <c r="D87" i="82"/>
  <c r="D111" i="82"/>
  <c r="J642" i="121" a="1"/>
  <c r="J642" i="121" s="1"/>
  <c r="J624" i="121" a="1"/>
  <c r="J624" i="121" s="1"/>
  <c r="G42" i="121" a="1"/>
  <c r="G42" i="121" s="1"/>
  <c r="H29" i="84" a="1"/>
  <c r="H29" i="84" s="1"/>
  <c r="R29" i="84" a="1"/>
  <c r="R29" i="84" s="1"/>
  <c r="G29" i="84" a="1"/>
  <c r="G29" i="84" s="1"/>
  <c r="Q29" i="84" a="1"/>
  <c r="Q29" i="84" s="1"/>
  <c r="P29" i="84" a="1"/>
  <c r="P29" i="84" s="1"/>
  <c r="O29" i="84" a="1"/>
  <c r="O29" i="84" s="1"/>
  <c r="E29" i="84" a="1"/>
  <c r="E29" i="84" s="1"/>
  <c r="G48" i="121" a="1"/>
  <c r="G48" i="121" s="1"/>
  <c r="G137" i="121" a="1"/>
  <c r="G137" i="121" s="1"/>
  <c r="O35" i="122" a="1"/>
  <c r="O35" i="122" s="1"/>
  <c r="S48" i="122" s="1"/>
  <c r="G46" i="121" a="1"/>
  <c r="G46" i="121" s="1"/>
  <c r="E19" i="122" a="1"/>
  <c r="E19" i="122" s="1"/>
  <c r="J584" i="121" s="1"/>
  <c r="J48" i="121" a="1"/>
  <c r="J48" i="121" s="1"/>
  <c r="E182" i="121"/>
  <c r="G485" i="121" a="1"/>
  <c r="G485" i="121" s="1"/>
  <c r="G49" i="121" a="1"/>
  <c r="G49" i="121" s="1"/>
  <c r="I151" i="121" a="1"/>
  <c r="I151" i="121" s="1"/>
  <c r="G50" i="121" a="1"/>
  <c r="G50" i="121" s="1"/>
  <c r="I152" i="121" a="1"/>
  <c r="I152" i="121" s="1"/>
  <c r="E74" i="122" a="1"/>
  <c r="E74" i="122" s="1"/>
  <c r="J86" i="122" s="1"/>
  <c r="E90" i="122" s="1" a="1"/>
  <c r="E90" i="122" s="1"/>
  <c r="J586" i="121" s="1"/>
  <c r="E548" i="121" a="1"/>
  <c r="E548" i="121" s="1"/>
  <c r="G481" i="121" a="1"/>
  <c r="G481" i="121" s="1"/>
  <c r="G494" i="121" a="1"/>
  <c r="G494" i="121" s="1"/>
  <c r="O19" i="122" a="1"/>
  <c r="O19" i="122" s="1"/>
  <c r="R584" i="121" s="1"/>
  <c r="J51" i="121" a="1"/>
  <c r="J51" i="121" s="1"/>
  <c r="G43" i="121" a="1"/>
  <c r="G43" i="121" s="1"/>
  <c r="E61" i="122"/>
  <c r="O61" i="122"/>
  <c r="E26" i="122"/>
  <c r="O26" i="122"/>
  <c r="P74" i="122"/>
  <c r="F74" i="122"/>
  <c r="P19" i="122"/>
  <c r="F19" i="122"/>
  <c r="P90" i="122"/>
  <c r="F90" i="122"/>
  <c r="G81" i="121" a="1"/>
  <c r="G81" i="121" s="1"/>
  <c r="G88" i="121" a="1"/>
  <c r="G88" i="121" s="1"/>
  <c r="G84" i="121" a="1"/>
  <c r="G84" i="121" s="1"/>
  <c r="P55" i="122"/>
  <c r="F55" i="122"/>
  <c r="G86" i="121" a="1"/>
  <c r="G86" i="121" s="1"/>
  <c r="G148" i="121" a="1"/>
  <c r="G148" i="121" s="1"/>
  <c r="F311" i="121"/>
  <c r="G483" i="121" a="1"/>
  <c r="G483" i="121" s="1"/>
  <c r="E35" i="122" a="1"/>
  <c r="E35" i="122" s="1"/>
  <c r="I48" i="122" s="1"/>
  <c r="M32" i="121" a="1"/>
  <c r="M32" i="121" s="1"/>
  <c r="J67" i="121" a="1"/>
  <c r="J67" i="121" s="1"/>
  <c r="G150" i="121" a="1"/>
  <c r="G150" i="121" s="1"/>
  <c r="G496" i="121" a="1"/>
  <c r="G496" i="121" s="1"/>
  <c r="G484" i="121" a="1"/>
  <c r="G484" i="121" s="1"/>
  <c r="G45" i="121" a="1"/>
  <c r="G45" i="121" s="1"/>
  <c r="I484" i="121" a="1"/>
  <c r="I484" i="121" s="1"/>
  <c r="G177" i="121" a="1"/>
  <c r="G177" i="121" s="1"/>
  <c r="E101" i="121"/>
  <c r="E218" i="121"/>
  <c r="E338" i="121"/>
  <c r="E7" i="121"/>
  <c r="E166" i="121"/>
  <c r="E433" i="121"/>
  <c r="E400" i="121"/>
  <c r="E189" i="121"/>
  <c r="E203" i="121"/>
  <c r="E370" i="121"/>
  <c r="E273" i="121"/>
  <c r="E305" i="121"/>
  <c r="E576" i="121"/>
  <c r="E609" i="121"/>
  <c r="I139" i="121" a="1"/>
  <c r="I139" i="121" s="1"/>
  <c r="G139" i="121" a="1"/>
  <c r="G139" i="121" s="1"/>
  <c r="G153" i="121" a="1"/>
  <c r="G153" i="121" s="1"/>
  <c r="I153" i="121" a="1"/>
  <c r="I153" i="121" s="1"/>
  <c r="G68" i="121" a="1"/>
  <c r="G68" i="121" s="1"/>
  <c r="J63" i="121" a="1"/>
  <c r="J63" i="121" s="1"/>
  <c r="G67" i="121" a="1"/>
  <c r="G67" i="121" s="1"/>
  <c r="J66" i="121" a="1"/>
  <c r="J66" i="121" s="1"/>
  <c r="G62" i="121" a="1"/>
  <c r="G62" i="121" s="1"/>
  <c r="J70" i="121" a="1"/>
  <c r="J70" i="121" s="1"/>
  <c r="G66" i="121" a="1"/>
  <c r="G66" i="121" s="1"/>
  <c r="F94" i="121"/>
  <c r="F91" i="121"/>
  <c r="F72" i="121"/>
  <c r="F34" i="121"/>
  <c r="F93" i="121"/>
  <c r="F90" i="121"/>
  <c r="F73" i="121"/>
  <c r="F54" i="121"/>
  <c r="F35" i="121"/>
  <c r="F53" i="121"/>
  <c r="I149" i="121" a="1"/>
  <c r="I149" i="121" s="1"/>
  <c r="G149" i="121" a="1"/>
  <c r="G149" i="121" s="1"/>
  <c r="F657" i="121"/>
  <c r="F656" i="121"/>
  <c r="F654" i="121"/>
  <c r="F636" i="121"/>
  <c r="F653" i="121"/>
  <c r="F635" i="121"/>
  <c r="F156" i="121"/>
  <c r="F155" i="121"/>
  <c r="F132" i="121"/>
  <c r="F143" i="121"/>
  <c r="F131" i="121"/>
  <c r="F160" i="121"/>
  <c r="F142" i="121"/>
  <c r="F159" i="121"/>
  <c r="F499" i="121"/>
  <c r="F488" i="121"/>
  <c r="F332" i="121"/>
  <c r="F516" i="121"/>
  <c r="F393" i="121"/>
  <c r="F363" i="121"/>
  <c r="F498" i="121"/>
  <c r="F487" i="121"/>
  <c r="F475" i="121"/>
  <c r="F457" i="121"/>
  <c r="F426" i="121"/>
  <c r="F331" i="121"/>
  <c r="F548" i="121"/>
  <c r="F474" i="121"/>
  <c r="F456" i="121"/>
  <c r="F425" i="121"/>
  <c r="F570" i="121"/>
  <c r="F298" i="121"/>
  <c r="F533" i="121"/>
  <c r="F517" i="121"/>
  <c r="F267" i="121"/>
  <c r="F266" i="121"/>
  <c r="F362" i="121"/>
  <c r="F263" i="121"/>
  <c r="F182" i="121"/>
  <c r="J31" i="121" a="1"/>
  <c r="J31" i="121" s="1"/>
  <c r="I140" i="121" a="1"/>
  <c r="I140" i="121" s="1"/>
  <c r="G151" i="121" a="1"/>
  <c r="G151" i="121" s="1"/>
  <c r="F299" i="121"/>
  <c r="J29" i="121" a="1"/>
  <c r="J29" i="121" s="1"/>
  <c r="J88" i="121" a="1"/>
  <c r="J88" i="121" s="1"/>
  <c r="G179" i="121" a="1"/>
  <c r="G179" i="121" s="1"/>
  <c r="K508" i="121" a="1"/>
  <c r="K508" i="121" s="1"/>
  <c r="K514" i="121" a="1"/>
  <c r="K514" i="121" s="1"/>
  <c r="K507" i="121" a="1"/>
  <c r="K507" i="121" s="1"/>
  <c r="K513" i="121" a="1"/>
  <c r="K513" i="121" s="1"/>
  <c r="K506" i="121" a="1"/>
  <c r="K506" i="121" s="1"/>
  <c r="K512" i="121" a="1"/>
  <c r="K512" i="121" s="1"/>
  <c r="K511" i="121" a="1"/>
  <c r="K511" i="121" s="1"/>
  <c r="K510" i="121" a="1"/>
  <c r="K510" i="121" s="1"/>
  <c r="K509" i="121" a="1"/>
  <c r="K509" i="121" s="1"/>
  <c r="J45" i="121" a="1"/>
  <c r="J45" i="121" s="1"/>
  <c r="J84" i="121" a="1"/>
  <c r="J84" i="121" s="1"/>
  <c r="G140" i="121" a="1"/>
  <c r="G140" i="121" s="1"/>
  <c r="K505" i="121" a="1"/>
  <c r="K505" i="121" s="1"/>
  <c r="J27" i="121" a="1"/>
  <c r="J27" i="121" s="1"/>
  <c r="J80" i="121" a="1"/>
  <c r="J80" i="121" s="1"/>
  <c r="J49" i="121" a="1"/>
  <c r="J49" i="121" s="1"/>
  <c r="G63" i="121" a="1"/>
  <c r="G63" i="121" s="1"/>
  <c r="G85" i="121" a="1"/>
  <c r="G85" i="121" s="1"/>
  <c r="G152" i="121" a="1"/>
  <c r="G152" i="121" s="1"/>
  <c r="J25" i="121" a="1"/>
  <c r="J25" i="121" s="1"/>
  <c r="M27" i="121" a="1"/>
  <c r="M27" i="121" s="1"/>
  <c r="J85" i="121" a="1"/>
  <c r="J85" i="121" s="1"/>
  <c r="F264" i="121"/>
  <c r="J452" i="121" a="1"/>
  <c r="J452" i="121" s="1"/>
  <c r="H452" i="121" a="1"/>
  <c r="H452" i="121" s="1"/>
  <c r="J32" i="121" a="1"/>
  <c r="J32" i="121" s="1"/>
  <c r="J68" i="121" a="1"/>
  <c r="J68" i="121" s="1"/>
  <c r="G65" i="121" a="1"/>
  <c r="G65" i="121" s="1"/>
  <c r="F181" i="121"/>
  <c r="M25" i="121" a="1"/>
  <c r="M25" i="121" s="1"/>
  <c r="J28" i="121" a="1"/>
  <c r="J28" i="121" s="1"/>
  <c r="J30" i="121" a="1"/>
  <c r="J30" i="121" s="1"/>
  <c r="J46" i="121" a="1"/>
  <c r="J46" i="121" s="1"/>
  <c r="G64" i="121" a="1"/>
  <c r="G64" i="121" s="1"/>
  <c r="J81" i="121" a="1"/>
  <c r="J81" i="121" s="1"/>
  <c r="I150" i="121" a="1"/>
  <c r="I150" i="121" s="1"/>
  <c r="J454" i="121" a="1"/>
  <c r="J454" i="121" s="1"/>
  <c r="H454" i="121" a="1"/>
  <c r="H454" i="121" s="1"/>
  <c r="J470" i="121" a="1"/>
  <c r="J470" i="121" s="1"/>
  <c r="H470" i="121" a="1"/>
  <c r="H470" i="121" s="1"/>
  <c r="J646" i="121" a="1"/>
  <c r="J646" i="121" s="1"/>
  <c r="J645" i="121" a="1"/>
  <c r="J645" i="121" s="1"/>
  <c r="J651" i="121" a="1"/>
  <c r="J651" i="121" s="1"/>
  <c r="J644" i="121" a="1"/>
  <c r="J644" i="121" s="1"/>
  <c r="J650" i="121" a="1"/>
  <c r="J650" i="121" s="1"/>
  <c r="J649" i="121" a="1"/>
  <c r="J649" i="121" s="1"/>
  <c r="J643" i="121" a="1"/>
  <c r="J643" i="121" s="1"/>
  <c r="J43" i="121" a="1"/>
  <c r="J43" i="121" s="1"/>
  <c r="J50" i="121" a="1"/>
  <c r="J50" i="121" s="1"/>
  <c r="J64" i="121" a="1"/>
  <c r="J64" i="121" s="1"/>
  <c r="G69" i="121" a="1"/>
  <c r="G69" i="121" s="1"/>
  <c r="G87" i="121" a="1"/>
  <c r="G87" i="121" s="1"/>
  <c r="J83" i="121" a="1"/>
  <c r="J83" i="121" s="1"/>
  <c r="G80" i="121" a="1"/>
  <c r="G80" i="121" s="1"/>
  <c r="G82" i="121" a="1"/>
  <c r="G82" i="121" s="1"/>
  <c r="J86" i="121" a="1"/>
  <c r="J86" i="121" s="1"/>
  <c r="F125" i="121"/>
  <c r="M26" i="121" a="1"/>
  <c r="M26" i="121" s="1"/>
  <c r="M30" i="121" a="1"/>
  <c r="M30" i="121" s="1"/>
  <c r="G51" i="121" a="1"/>
  <c r="G51" i="121" s="1"/>
  <c r="J472" i="121" a="1"/>
  <c r="J472" i="121" s="1"/>
  <c r="H472" i="121" a="1"/>
  <c r="H472" i="121" s="1"/>
  <c r="J24" i="121" a="1"/>
  <c r="J24" i="121" s="1"/>
  <c r="J44" i="121" a="1"/>
  <c r="J44" i="121" s="1"/>
  <c r="G47" i="121" a="1"/>
  <c r="G47" i="121" s="1"/>
  <c r="J69" i="121" a="1"/>
  <c r="J69" i="121" s="1"/>
  <c r="J82" i="121" a="1"/>
  <c r="J82" i="121" s="1"/>
  <c r="I122" i="121" a="1"/>
  <c r="I122" i="121" s="1"/>
  <c r="F127" i="121"/>
  <c r="G495" i="121" a="1"/>
  <c r="G495" i="121" s="1"/>
  <c r="I495" i="121" a="1"/>
  <c r="I495" i="121" s="1"/>
  <c r="E499" i="121" s="1"/>
  <c r="J42" i="121" a="1"/>
  <c r="J42" i="121" s="1"/>
  <c r="J47" i="121" a="1"/>
  <c r="J47" i="121" s="1"/>
  <c r="J65" i="121" a="1"/>
  <c r="J65" i="121" s="1"/>
  <c r="G83" i="121" a="1"/>
  <c r="G83" i="121" s="1"/>
  <c r="J87" i="121" a="1"/>
  <c r="J87" i="121" s="1"/>
  <c r="G178" i="121" a="1"/>
  <c r="G178" i="121" s="1"/>
  <c r="J466" i="121" a="1"/>
  <c r="J466" i="121" s="1"/>
  <c r="J468" i="121" a="1"/>
  <c r="J468" i="121" s="1"/>
  <c r="J465" i="121" a="1"/>
  <c r="J465" i="121" s="1"/>
  <c r="J464" i="121" a="1"/>
  <c r="J464" i="121" s="1"/>
  <c r="N588" i="121"/>
  <c r="F588" i="121"/>
  <c r="J648" i="121" a="1"/>
  <c r="J648" i="121" s="1"/>
  <c r="G70" i="121" a="1"/>
  <c r="G70" i="121" s="1"/>
  <c r="F394" i="121"/>
  <c r="J463" i="121" a="1"/>
  <c r="J463" i="121" s="1"/>
  <c r="H388" i="121" a="1"/>
  <c r="H388" i="121" s="1"/>
  <c r="J416" i="121" a="1"/>
  <c r="J416" i="121" s="1"/>
  <c r="J420" i="121" a="1"/>
  <c r="J420" i="121" s="1"/>
  <c r="J423" i="121" a="1"/>
  <c r="J423" i="121" s="1"/>
  <c r="K420" i="121"/>
  <c r="K415" i="121"/>
  <c r="K418" i="121"/>
  <c r="K414" i="121"/>
  <c r="J261" i="121" a="1"/>
  <c r="J261" i="121" s="1"/>
  <c r="J254" i="121" a="1"/>
  <c r="J254" i="121" s="1"/>
  <c r="J257" i="121" a="1"/>
  <c r="J257" i="121" s="1"/>
  <c r="J260" i="121" a="1"/>
  <c r="J260" i="121" s="1"/>
  <c r="J253" i="121" a="1"/>
  <c r="J253" i="121" s="1"/>
  <c r="I293" i="121" a="1"/>
  <c r="I293" i="121" s="1"/>
  <c r="I291" i="121" a="1"/>
  <c r="I291" i="121" s="1"/>
  <c r="I287" i="121" a="1"/>
  <c r="I287" i="121" s="1"/>
  <c r="H390" i="121" a="1"/>
  <c r="H390" i="121" s="1"/>
  <c r="J385" i="121" a="1"/>
  <c r="J385" i="121" s="1"/>
  <c r="J387" i="121" a="1"/>
  <c r="J387" i="121" s="1"/>
  <c r="J389" i="121" a="1"/>
  <c r="J389" i="121" s="1"/>
  <c r="K422" i="121"/>
  <c r="H446" i="121" a="1"/>
  <c r="H446" i="121" s="1"/>
  <c r="H448" i="121" a="1"/>
  <c r="H448" i="121" s="1"/>
  <c r="H450" i="121" a="1"/>
  <c r="H450" i="121" s="1"/>
  <c r="K357" i="121" a="1"/>
  <c r="K357" i="121" s="1"/>
  <c r="K352" i="121" a="1"/>
  <c r="K352" i="121" s="1"/>
  <c r="K356" i="121" a="1"/>
  <c r="K356" i="121" s="1"/>
  <c r="K360" i="121" a="1"/>
  <c r="K360" i="121" s="1"/>
  <c r="K355" i="121" a="1"/>
  <c r="K355" i="121" s="1"/>
  <c r="J391" i="121" a="1"/>
  <c r="J391" i="121" s="1"/>
  <c r="J384" i="121" a="1"/>
  <c r="J384" i="121" s="1"/>
  <c r="H391" i="121" a="1"/>
  <c r="H391" i="121" s="1"/>
  <c r="J386" i="121" a="1"/>
  <c r="J386" i="121" s="1"/>
  <c r="H384" i="121" a="1"/>
  <c r="H384" i="121" s="1"/>
  <c r="K423" i="121"/>
  <c r="H445" i="121" a="1"/>
  <c r="H445" i="121" s="1"/>
  <c r="H467" i="121" a="1"/>
  <c r="H467" i="121" s="1"/>
  <c r="I482" i="121" a="1"/>
  <c r="I482" i="121" s="1"/>
  <c r="G482" i="121" a="1"/>
  <c r="G482" i="121" s="1"/>
  <c r="K351" i="121" a="1"/>
  <c r="K351" i="121" s="1"/>
  <c r="K416" i="121"/>
  <c r="J448" i="121" a="1"/>
  <c r="J448" i="121" s="1"/>
  <c r="J450" i="121" a="1"/>
  <c r="J450" i="121" s="1"/>
  <c r="J447" i="121" a="1"/>
  <c r="J447" i="121" s="1"/>
  <c r="J449" i="121" a="1"/>
  <c r="J449" i="121" s="1"/>
  <c r="E570" i="121" a="1"/>
  <c r="E570" i="121" s="1"/>
  <c r="H386" i="121" a="1"/>
  <c r="H386" i="121" s="1"/>
  <c r="H464" i="121" a="1"/>
  <c r="H464" i="121" s="1"/>
  <c r="H466" i="121" a="1"/>
  <c r="H466" i="121" s="1"/>
  <c r="H468" i="121" a="1"/>
  <c r="H468" i="121" s="1"/>
  <c r="J647" i="121" a="1"/>
  <c r="J647" i="121" s="1"/>
  <c r="L359" i="121"/>
  <c r="J627" i="121" a="1"/>
  <c r="J627" i="121" s="1"/>
  <c r="J628" i="121" a="1"/>
  <c r="J628" i="121" s="1"/>
  <c r="J629" i="121" a="1"/>
  <c r="J629" i="121" s="1"/>
  <c r="L14" i="117"/>
  <c r="R12" i="117"/>
  <c r="O15" i="117"/>
  <c r="L18" i="117"/>
  <c r="R15" i="117"/>
  <c r="O18" i="117"/>
  <c r="L12" i="117"/>
  <c r="L19" i="117"/>
  <c r="E7" i="113"/>
  <c r="E30" i="113"/>
  <c r="P48" i="113"/>
  <c r="F48" i="113"/>
  <c r="E7" i="112"/>
  <c r="Q36" i="106" a="1"/>
  <c r="Q36" i="106" s="1"/>
  <c r="E99" i="109"/>
  <c r="E7" i="109"/>
  <c r="F192" i="109"/>
  <c r="F151" i="109"/>
  <c r="I88" i="109" a="1"/>
  <c r="I88" i="109" s="1"/>
  <c r="H186" i="109" s="1"/>
  <c r="I24" i="109" a="1"/>
  <c r="I24" i="109" s="1"/>
  <c r="H119" i="109" s="1"/>
  <c r="I31" i="109" a="1"/>
  <c r="I31" i="109" s="1"/>
  <c r="H126" i="109" s="1"/>
  <c r="I39" i="109" a="1"/>
  <c r="I39" i="109" s="1"/>
  <c r="H134" i="109" s="1"/>
  <c r="I47" i="109" a="1"/>
  <c r="I47" i="109" s="1"/>
  <c r="H142" i="109" s="1"/>
  <c r="I22" i="109" a="1"/>
  <c r="I22" i="109" s="1"/>
  <c r="H117" i="109" s="1"/>
  <c r="I29" i="109" a="1"/>
  <c r="I29" i="109" s="1"/>
  <c r="H124" i="109" s="1"/>
  <c r="I37" i="109" a="1"/>
  <c r="I37" i="109" s="1"/>
  <c r="H132" i="109" s="1"/>
  <c r="I45" i="109" a="1"/>
  <c r="I45" i="109" s="1"/>
  <c r="H140" i="109" s="1"/>
  <c r="I51" i="109" a="1"/>
  <c r="I51" i="109" s="1"/>
  <c r="H146" i="109" s="1"/>
  <c r="I53" i="109" a="1"/>
  <c r="I53" i="109" s="1"/>
  <c r="H148" i="109" s="1"/>
  <c r="I90" i="109" a="1"/>
  <c r="I90" i="109" s="1"/>
  <c r="H188" i="109" s="1"/>
  <c r="Q40" i="106" a="1"/>
  <c r="Q40" i="106" s="1"/>
  <c r="E7" i="106"/>
  <c r="L8" i="106"/>
  <c r="Q29" i="106" a="1"/>
  <c r="Q29" i="106" s="1"/>
  <c r="F70" i="105"/>
  <c r="F64" i="105"/>
  <c r="F55" i="105"/>
  <c r="F45" i="105"/>
  <c r="Q38" i="106" a="1"/>
  <c r="Q38" i="106" s="1"/>
  <c r="O29" i="106" a="1"/>
  <c r="O29" i="106" s="1"/>
  <c r="N29" i="106" a="1"/>
  <c r="N29" i="106" s="1"/>
  <c r="P29" i="106" a="1"/>
  <c r="P29" i="106" s="1"/>
  <c r="P38" i="106" a="1"/>
  <c r="P38" i="106" s="1"/>
  <c r="O38" i="106" a="1"/>
  <c r="O38" i="106" s="1"/>
  <c r="N38" i="106" a="1"/>
  <c r="N38" i="106" s="1"/>
  <c r="F58" i="106"/>
  <c r="F49" i="106"/>
  <c r="F57" i="106"/>
  <c r="F46" i="106"/>
  <c r="F56" i="106"/>
  <c r="F45" i="106"/>
  <c r="F55" i="106"/>
  <c r="F44" i="106"/>
  <c r="F52" i="106"/>
  <c r="F43" i="106"/>
  <c r="F51" i="106"/>
  <c r="F50" i="106"/>
  <c r="O36" i="106" a="1"/>
  <c r="O36" i="106" s="1"/>
  <c r="N36" i="106" a="1"/>
  <c r="N36" i="106" s="1"/>
  <c r="P36" i="106" a="1"/>
  <c r="P36" i="106" s="1"/>
  <c r="N35" i="106" a="1"/>
  <c r="N35" i="106" s="1"/>
  <c r="Q35" i="106" a="1"/>
  <c r="Q35" i="106" s="1"/>
  <c r="D27" i="106"/>
  <c r="D34" i="106"/>
  <c r="D39" i="106"/>
  <c r="D42" i="106"/>
  <c r="D30" i="106"/>
  <c r="D28" i="106"/>
  <c r="Q28" i="106" s="1" a="1"/>
  <c r="Q28" i="106" s="1"/>
  <c r="Q37" i="106" a="1"/>
  <c r="Q37" i="106" s="1"/>
  <c r="D26" i="106"/>
  <c r="D33" i="106"/>
  <c r="D31" i="106"/>
  <c r="Q31" i="106" s="1" a="1"/>
  <c r="Q31" i="106" s="1"/>
  <c r="Q32" i="106" a="1"/>
  <c r="Q32" i="106" s="1"/>
  <c r="O35" i="106" a="1"/>
  <c r="O35" i="106" s="1"/>
  <c r="D48" i="106"/>
  <c r="P35" i="106" a="1"/>
  <c r="P35" i="106" s="1"/>
  <c r="P40" i="106" a="1"/>
  <c r="P40" i="106" s="1"/>
  <c r="E7" i="105"/>
  <c r="L7" i="105"/>
  <c r="N35" i="105" a="1"/>
  <c r="N35" i="105" s="1"/>
  <c r="D30" i="105"/>
  <c r="F43" i="105"/>
  <c r="F52" i="105"/>
  <c r="F62" i="105"/>
  <c r="Q35" i="105" a="1"/>
  <c r="Q35" i="105" s="1"/>
  <c r="F44" i="105"/>
  <c r="D54" i="105"/>
  <c r="F63" i="105"/>
  <c r="D28" i="105"/>
  <c r="F46" i="105"/>
  <c r="F56" i="105"/>
  <c r="Q38" i="105" a="1"/>
  <c r="Q38" i="105" s="1"/>
  <c r="D48" i="105"/>
  <c r="F67" i="105"/>
  <c r="D32" i="105"/>
  <c r="P35" i="105" a="1"/>
  <c r="P35" i="105" s="1"/>
  <c r="F57" i="105"/>
  <c r="D27" i="105"/>
  <c r="F49" i="105"/>
  <c r="F68" i="105"/>
  <c r="D36" i="105"/>
  <c r="F58" i="105"/>
  <c r="D31" i="105"/>
  <c r="F50" i="105"/>
  <c r="F69" i="105"/>
  <c r="D26" i="105"/>
  <c r="F51" i="105"/>
  <c r="F61" i="105"/>
  <c r="E39" i="102" a="1"/>
  <c r="E39" i="102" s="1"/>
  <c r="I17" i="104"/>
  <c r="I48" i="101"/>
  <c r="E18" i="102" a="1"/>
  <c r="E18" i="102" s="1"/>
  <c r="I38" i="101"/>
  <c r="I39" i="101"/>
  <c r="E54" i="82"/>
  <c r="I57" i="99"/>
  <c r="I46" i="101"/>
  <c r="I47" i="101"/>
  <c r="E49" i="99"/>
  <c r="E7" i="99"/>
  <c r="H26" i="97" a="1"/>
  <c r="H26" i="97" s="1"/>
  <c r="F107" i="98" a="1"/>
  <c r="F107" i="98" s="1"/>
  <c r="E139" i="98" s="1"/>
  <c r="F108" i="98" a="1"/>
  <c r="F108" i="98" s="1"/>
  <c r="E140" i="98" s="1"/>
  <c r="H29" i="97" a="1"/>
  <c r="H29" i="97" s="1"/>
  <c r="F110" i="98" a="1"/>
  <c r="F110" i="98" s="1"/>
  <c r="E142" i="98" s="1"/>
  <c r="F111" i="98" a="1"/>
  <c r="F111" i="98" s="1"/>
  <c r="E143" i="98" s="1"/>
  <c r="F112" i="98" a="1"/>
  <c r="F112" i="98" s="1"/>
  <c r="E144" i="98" s="1"/>
  <c r="E43" i="98"/>
  <c r="E118" i="98"/>
  <c r="E7" i="98"/>
  <c r="E90" i="98"/>
  <c r="F109" i="98" a="1"/>
  <c r="F109" i="98" s="1"/>
  <c r="E141" i="98" s="1"/>
  <c r="F105" i="98" a="1"/>
  <c r="F105" i="98" s="1"/>
  <c r="E137" i="98" s="1"/>
  <c r="G59" i="98"/>
  <c r="E7" i="97"/>
  <c r="H25" i="97" a="1"/>
  <c r="H25" i="97" s="1"/>
  <c r="H27" i="97" a="1"/>
  <c r="H27" i="97" s="1"/>
  <c r="H28" i="97" a="1"/>
  <c r="H28" i="97" s="1"/>
  <c r="E38" i="96"/>
  <c r="E7" i="96"/>
  <c r="E80" i="92" a="1"/>
  <c r="E80" i="92" s="1"/>
  <c r="E115" i="92" s="1" a="1"/>
  <c r="E115" i="92" s="1"/>
  <c r="E132" i="92" s="1" a="1"/>
  <c r="E132" i="92" s="1"/>
  <c r="E180" i="92" s="1" a="1"/>
  <c r="E180" i="92" s="1"/>
  <c r="I43" i="86"/>
  <c r="Q80" i="92" a="1"/>
  <c r="Q80" i="92" s="1"/>
  <c r="Q115" i="92" s="1" a="1"/>
  <c r="Q115" i="92" s="1"/>
  <c r="Q132" i="92" s="1" a="1"/>
  <c r="Q132" i="92" s="1"/>
  <c r="Q180" i="92" s="1" a="1"/>
  <c r="Q180" i="92" s="1"/>
  <c r="E7" i="95"/>
  <c r="E43" i="95"/>
  <c r="F78" i="95"/>
  <c r="F58" i="95"/>
  <c r="O80" i="92" a="1"/>
  <c r="O80" i="92" s="1"/>
  <c r="O115" i="92" s="1" a="1"/>
  <c r="O115" i="92" s="1"/>
  <c r="O132" i="92" s="1" a="1"/>
  <c r="O132" i="92" s="1"/>
  <c r="O180" i="92" s="1" a="1"/>
  <c r="O180" i="92" s="1"/>
  <c r="E42" i="94"/>
  <c r="N85" i="94"/>
  <c r="E7" i="94"/>
  <c r="Q22" i="94"/>
  <c r="F60" i="94"/>
  <c r="J55" i="93"/>
  <c r="Q24" i="94"/>
  <c r="Q26" i="94"/>
  <c r="Q28" i="94"/>
  <c r="Q30" i="94"/>
  <c r="J56" i="93"/>
  <c r="O110" i="94"/>
  <c r="Q13" i="94"/>
  <c r="Q23" i="94"/>
  <c r="N105" i="94"/>
  <c r="X13" i="93"/>
  <c r="Q25" i="94"/>
  <c r="Q27" i="94"/>
  <c r="N106" i="94"/>
  <c r="Q14" i="94"/>
  <c r="I17" i="93"/>
  <c r="I19" i="93"/>
  <c r="H80" i="92" a="1"/>
  <c r="H80" i="92" s="1"/>
  <c r="H115" i="92" s="1" a="1"/>
  <c r="H115" i="92" s="1"/>
  <c r="H132" i="92" s="1" a="1"/>
  <c r="H132" i="92" s="1"/>
  <c r="H180" i="92" s="1" a="1"/>
  <c r="H180" i="92" s="1"/>
  <c r="O182" i="92"/>
  <c r="D40" i="93"/>
  <c r="N80" i="92" a="1"/>
  <c r="N80" i="92" s="1"/>
  <c r="N115" i="92" s="1" a="1"/>
  <c r="N115" i="92" s="1"/>
  <c r="N132" i="92" s="1" a="1"/>
  <c r="N132" i="92" s="1"/>
  <c r="N180" i="92" s="1" a="1"/>
  <c r="N180" i="92" s="1"/>
  <c r="J54" i="93"/>
  <c r="X12" i="93"/>
  <c r="I170" i="92"/>
  <c r="X17" i="93"/>
  <c r="X21" i="93"/>
  <c r="X16" i="93"/>
  <c r="X19" i="93"/>
  <c r="X18" i="93"/>
  <c r="X20" i="93"/>
  <c r="X15" i="93"/>
  <c r="I13" i="93"/>
  <c r="I20" i="93"/>
  <c r="I12" i="93"/>
  <c r="I15" i="93"/>
  <c r="I21" i="93"/>
  <c r="E8" i="92"/>
  <c r="E31" i="92"/>
  <c r="E57" i="92"/>
  <c r="E139" i="92"/>
  <c r="E121" i="92"/>
  <c r="E86" i="92"/>
  <c r="F53" i="82"/>
  <c r="E53" i="82"/>
  <c r="E40" i="82"/>
  <c r="I36" i="82"/>
  <c r="G36" i="82"/>
  <c r="H36" i="82"/>
  <c r="F36" i="82"/>
  <c r="H40" i="82"/>
  <c r="F40" i="82"/>
  <c r="E36" i="82"/>
  <c r="I40" i="82"/>
  <c r="G40" i="82"/>
  <c r="M80" i="92" a="1"/>
  <c r="M80" i="92" s="1"/>
  <c r="M115" i="92" s="1" a="1"/>
  <c r="M115" i="92" s="1"/>
  <c r="M132" i="92" s="1" a="1"/>
  <c r="M132" i="92" s="1"/>
  <c r="M180" i="92" s="1" a="1"/>
  <c r="M180" i="92" s="1"/>
  <c r="I80" i="92"/>
  <c r="R80" i="92"/>
  <c r="I132" i="92"/>
  <c r="R132" i="92"/>
  <c r="I115" i="92"/>
  <c r="R115" i="92"/>
  <c r="R24" i="92"/>
  <c r="I24" i="92"/>
  <c r="D50" i="92" a="1"/>
  <c r="D50" i="92" s="1"/>
  <c r="M50" i="92" a="1"/>
  <c r="M50" i="92" s="1"/>
  <c r="D80" i="92" a="1"/>
  <c r="D80" i="92" s="1"/>
  <c r="D115" i="92" s="1" a="1"/>
  <c r="D115" i="92" s="1"/>
  <c r="D132" i="92" s="1" a="1"/>
  <c r="D132" i="92" s="1"/>
  <c r="D180" i="92" s="1" a="1"/>
  <c r="D180" i="92" s="1"/>
  <c r="P80" i="92" a="1"/>
  <c r="P80" i="92" s="1"/>
  <c r="P115" i="92" s="1" a="1"/>
  <c r="P115" i="92" s="1"/>
  <c r="P132" i="92" s="1" a="1"/>
  <c r="P132" i="92" s="1"/>
  <c r="P180" i="92" s="1" a="1"/>
  <c r="P180" i="92" s="1"/>
  <c r="G148" i="92"/>
  <c r="I160" i="92" s="1"/>
  <c r="I165" i="92"/>
  <c r="F80" i="92" a="1"/>
  <c r="F80" i="92" s="1"/>
  <c r="F115" i="92" s="1" a="1"/>
  <c r="F115" i="92" s="1"/>
  <c r="F132" i="92" s="1" a="1"/>
  <c r="F132" i="92" s="1"/>
  <c r="F180" i="92" s="1" a="1"/>
  <c r="F180" i="92" s="1"/>
  <c r="R180" i="92"/>
  <c r="G80" i="92" a="1"/>
  <c r="G80" i="92" s="1"/>
  <c r="G115" i="92" s="1" a="1"/>
  <c r="G115" i="92" s="1"/>
  <c r="G132" i="92" s="1" a="1"/>
  <c r="G132" i="92" s="1"/>
  <c r="G180" i="92" s="1" a="1"/>
  <c r="G180" i="92" s="1"/>
  <c r="R170" i="92"/>
  <c r="F182" i="92"/>
  <c r="R165" i="92"/>
  <c r="Q30" i="90"/>
  <c r="V23" i="90"/>
  <c r="K28" i="90"/>
  <c r="H37" i="82"/>
  <c r="G37" i="82"/>
  <c r="F41" i="82"/>
  <c r="I37" i="82"/>
  <c r="F37" i="82"/>
  <c r="I41" i="82"/>
  <c r="E37" i="82"/>
  <c r="G41" i="82"/>
  <c r="H41" i="82"/>
  <c r="E41" i="82"/>
  <c r="E7" i="90"/>
  <c r="Q47" i="90"/>
  <c r="F47" i="90"/>
  <c r="G13" i="88"/>
  <c r="T19" i="88" s="1"/>
  <c r="K25" i="88"/>
  <c r="V28" i="90"/>
  <c r="D29" i="84" a="1"/>
  <c r="D29" i="84" s="1"/>
  <c r="F30" i="90"/>
  <c r="K23" i="90"/>
  <c r="E7" i="89"/>
  <c r="Q26" i="89"/>
  <c r="K19" i="89"/>
  <c r="F26" i="89"/>
  <c r="K24" i="89"/>
  <c r="V24" i="89"/>
  <c r="V19" i="89"/>
  <c r="Q45" i="89"/>
  <c r="F45" i="89"/>
  <c r="D38" i="89"/>
  <c r="O38" i="89" s="1"/>
  <c r="E7" i="88"/>
  <c r="E37" i="88"/>
  <c r="V31" i="88"/>
  <c r="K31" i="88"/>
  <c r="K52" i="87"/>
  <c r="V51" i="88"/>
  <c r="P79" i="83" a="1"/>
  <c r="P79" i="83" s="1"/>
  <c r="P114" i="83" s="1" a="1"/>
  <c r="P114" i="83" s="1"/>
  <c r="K51" i="88"/>
  <c r="G13" i="87"/>
  <c r="F53" i="88"/>
  <c r="E91" i="87"/>
  <c r="E7" i="87"/>
  <c r="F85" i="87"/>
  <c r="K141" i="87"/>
  <c r="K145" i="87"/>
  <c r="G127" i="87"/>
  <c r="V76" i="87"/>
  <c r="Q85" i="87"/>
  <c r="K76" i="87"/>
  <c r="K140" i="87"/>
  <c r="K144" i="87"/>
  <c r="V52" i="87"/>
  <c r="K139" i="87"/>
  <c r="K143" i="87"/>
  <c r="V139" i="87"/>
  <c r="E79" i="83" a="1"/>
  <c r="E79" i="83" s="1"/>
  <c r="F115" i="87"/>
  <c r="F148" i="87"/>
  <c r="V106" i="87"/>
  <c r="K142" i="87"/>
  <c r="K146" i="87"/>
  <c r="G95" i="82"/>
  <c r="K106" i="87"/>
  <c r="E7" i="86"/>
  <c r="E36" i="86"/>
  <c r="V49" i="86"/>
  <c r="Q52" i="86"/>
  <c r="F52" i="86"/>
  <c r="K49" i="86"/>
  <c r="K29" i="86"/>
  <c r="V29" i="86"/>
  <c r="K23" i="86"/>
  <c r="V23" i="86"/>
  <c r="G42" i="84"/>
  <c r="I50" i="84" s="1"/>
  <c r="U177" i="83" a="1"/>
  <c r="U177" i="83" s="1"/>
  <c r="I121" i="84"/>
  <c r="E7" i="85"/>
  <c r="P287" i="84"/>
  <c r="F287" i="84"/>
  <c r="Q68" i="85"/>
  <c r="F68" i="85"/>
  <c r="I93" i="84"/>
  <c r="S174" i="83" a="1"/>
  <c r="S174" i="83" s="1"/>
  <c r="G13" i="85"/>
  <c r="D61" i="85"/>
  <c r="O61" i="85" s="1"/>
  <c r="F49" i="85"/>
  <c r="F29" i="84" a="1"/>
  <c r="F29" i="84" s="1"/>
  <c r="G78" i="84"/>
  <c r="S121" i="84"/>
  <c r="H95" i="82"/>
  <c r="I45" i="83"/>
  <c r="Q175" i="83" a="1"/>
  <c r="Q175" i="83" s="1"/>
  <c r="V40" i="85"/>
  <c r="Q49" i="85"/>
  <c r="Q79" i="83" a="1"/>
  <c r="Q79" i="83" s="1"/>
  <c r="Q114" i="83" s="1" a="1"/>
  <c r="Q114" i="83" s="1"/>
  <c r="I98" i="84"/>
  <c r="I120" i="82"/>
  <c r="G178" i="83" a="1"/>
  <c r="G178" i="83" s="1"/>
  <c r="T173" i="83" a="1"/>
  <c r="T173" i="83" s="1"/>
  <c r="I179" i="83" a="1"/>
  <c r="I179" i="83" s="1"/>
  <c r="H174" i="83" a="1"/>
  <c r="H174" i="83" s="1"/>
  <c r="J174" i="83" a="1"/>
  <c r="J174" i="83" s="1"/>
  <c r="J179" i="83" a="1"/>
  <c r="J179" i="83" s="1"/>
  <c r="E132" i="84"/>
  <c r="E153" i="84"/>
  <c r="E219" i="84"/>
  <c r="E183" i="84"/>
  <c r="E7" i="84"/>
  <c r="E109" i="84"/>
  <c r="E256" i="84"/>
  <c r="E35" i="84"/>
  <c r="E72" i="84"/>
  <c r="S176" i="84"/>
  <c r="I176" i="84"/>
  <c r="I29" i="84"/>
  <c r="S29" i="84"/>
  <c r="I65" i="84"/>
  <c r="S65" i="84"/>
  <c r="I146" i="84"/>
  <c r="S146" i="84"/>
  <c r="I126" i="84"/>
  <c r="S126" i="84"/>
  <c r="I103" i="84"/>
  <c r="S103" i="84"/>
  <c r="N29" i="84" a="1"/>
  <c r="N29" i="84" s="1"/>
  <c r="I171" i="84"/>
  <c r="I213" i="84"/>
  <c r="I203" i="84"/>
  <c r="F177" i="83" a="1"/>
  <c r="F177" i="83" s="1"/>
  <c r="R179" i="83" a="1"/>
  <c r="R179" i="83" s="1"/>
  <c r="T175" i="83" a="1"/>
  <c r="T175" i="83" s="1"/>
  <c r="J175" i="83" a="1"/>
  <c r="J175" i="83" s="1"/>
  <c r="S208" i="84"/>
  <c r="S203" i="84"/>
  <c r="G162" i="83"/>
  <c r="U175" i="83" a="1"/>
  <c r="U175" i="83" s="1"/>
  <c r="I88" i="84"/>
  <c r="H178" i="83" a="1"/>
  <c r="H178" i="83" s="1"/>
  <c r="I206" i="83" a="1"/>
  <c r="I206" i="83" s="1"/>
  <c r="S88" i="84"/>
  <c r="G79" i="83" a="1"/>
  <c r="G79" i="83" s="1"/>
  <c r="U178" i="83" a="1"/>
  <c r="U178" i="83" s="1"/>
  <c r="T179" i="83" a="1"/>
  <c r="T179" i="83" s="1"/>
  <c r="F174" i="83" a="1"/>
  <c r="F174" i="83" s="1"/>
  <c r="R177" i="83" a="1"/>
  <c r="R177" i="83" s="1"/>
  <c r="U179" i="83" a="1"/>
  <c r="U179" i="83" s="1"/>
  <c r="I208" i="84"/>
  <c r="O50" i="83" a="1"/>
  <c r="O50" i="83" s="1"/>
  <c r="N88" i="84" s="1"/>
  <c r="G176" i="83" a="1"/>
  <c r="G176" i="83" s="1"/>
  <c r="D74" i="83"/>
  <c r="I198" i="84"/>
  <c r="I119" i="82"/>
  <c r="F179" i="83" a="1"/>
  <c r="F179" i="83" s="1"/>
  <c r="Q152" i="83"/>
  <c r="Q174" i="83" s="1" a="1"/>
  <c r="Q174" i="83" s="1"/>
  <c r="U206" i="83" a="1"/>
  <c r="U206" i="83" s="1"/>
  <c r="G174" i="83" a="1"/>
  <c r="G174" i="83" s="1"/>
  <c r="J176" i="83" a="1"/>
  <c r="J176" i="83" s="1"/>
  <c r="I175" i="83" a="1"/>
  <c r="I175" i="83" s="1"/>
  <c r="Q157" i="83"/>
  <c r="Q179" i="83" s="1" a="1"/>
  <c r="Q179" i="83" s="1"/>
  <c r="S177" i="83" a="1"/>
  <c r="S177" i="83" s="1"/>
  <c r="R178" i="83" a="1"/>
  <c r="R178" i="83" s="1"/>
  <c r="Q151" i="83"/>
  <c r="Q173" i="83" s="1" a="1"/>
  <c r="Q173" i="83" s="1"/>
  <c r="S178" i="83" a="1"/>
  <c r="S178" i="83" s="1"/>
  <c r="R174" i="83" a="1"/>
  <c r="R174" i="83" s="1"/>
  <c r="T178" i="83" a="1"/>
  <c r="T178" i="83" s="1"/>
  <c r="G205" i="83" a="1"/>
  <c r="G205" i="83" s="1"/>
  <c r="J206" i="83" a="1"/>
  <c r="J206" i="83" s="1"/>
  <c r="F154" i="83"/>
  <c r="F176" i="83" s="1" a="1"/>
  <c r="F176" i="83" s="1"/>
  <c r="G177" i="83" a="1"/>
  <c r="G177" i="83" s="1"/>
  <c r="I177" i="83" a="1"/>
  <c r="I177" i="83" s="1"/>
  <c r="F156" i="83"/>
  <c r="F178" i="83" s="1" a="1"/>
  <c r="F178" i="83" s="1"/>
  <c r="R173" i="83" a="1"/>
  <c r="R173" i="83" s="1"/>
  <c r="H179" i="83" a="1"/>
  <c r="H179" i="83" s="1"/>
  <c r="E85" i="83"/>
  <c r="E120" i="83"/>
  <c r="E8" i="83"/>
  <c r="E139" i="83"/>
  <c r="E252" i="83"/>
  <c r="E31" i="83"/>
  <c r="E56" i="83"/>
  <c r="E186" i="83"/>
  <c r="E212" i="83"/>
  <c r="T79" i="83"/>
  <c r="I79" i="83"/>
  <c r="K237" i="83"/>
  <c r="V237" i="83"/>
  <c r="T24" i="83"/>
  <c r="I24" i="83"/>
  <c r="S176" i="83" a="1"/>
  <c r="S176" i="83" s="1"/>
  <c r="R176" i="83" a="1"/>
  <c r="R176" i="83" s="1"/>
  <c r="U176" i="83" a="1"/>
  <c r="U176" i="83" s="1"/>
  <c r="T176" i="83" a="1"/>
  <c r="T176" i="83" s="1"/>
  <c r="E119" i="82"/>
  <c r="T114" i="83"/>
  <c r="I114" i="83"/>
  <c r="J205" i="83" a="1"/>
  <c r="J205" i="83" s="1"/>
  <c r="I205" i="83" a="1"/>
  <c r="I205" i="83" s="1"/>
  <c r="H205" i="83" a="1"/>
  <c r="H205" i="83" s="1"/>
  <c r="I173" i="83" a="1"/>
  <c r="I173" i="83" s="1"/>
  <c r="H173" i="83" a="1"/>
  <c r="H173" i="83" s="1"/>
  <c r="G173" i="83" a="1"/>
  <c r="G173" i="83" s="1"/>
  <c r="J173" i="83" a="1"/>
  <c r="J173" i="83" s="1"/>
  <c r="F151" i="83"/>
  <c r="F173" i="83" s="1" a="1"/>
  <c r="F173" i="83" s="1"/>
  <c r="V152" i="83"/>
  <c r="Q154" i="83"/>
  <c r="Q176" i="83" s="1" a="1"/>
  <c r="Q176" i="83" s="1"/>
  <c r="F119" i="82"/>
  <c r="F199" i="83"/>
  <c r="T206" i="83" a="1"/>
  <c r="T206" i="83" s="1"/>
  <c r="U205" i="83" a="1"/>
  <c r="U205" i="83" s="1"/>
  <c r="Q199" i="83"/>
  <c r="T205" i="83" a="1"/>
  <c r="T205" i="83" s="1"/>
  <c r="D50" i="83" a="1"/>
  <c r="D50" i="83" s="1"/>
  <c r="D88" i="84" s="1"/>
  <c r="Q300" i="83"/>
  <c r="F300" i="83"/>
  <c r="R205" i="83" a="1"/>
  <c r="R205" i="83" s="1"/>
  <c r="K173" i="83"/>
  <c r="V173" i="83"/>
  <c r="S79" i="83" a="1"/>
  <c r="S79" i="83" s="1"/>
  <c r="S114" i="83" s="1" a="1"/>
  <c r="S114" i="83" s="1"/>
  <c r="V205" i="83"/>
  <c r="V206" i="83"/>
  <c r="K206" i="83"/>
  <c r="K205" i="83"/>
  <c r="H175" i="83" a="1"/>
  <c r="H175" i="83" s="1"/>
  <c r="S205" i="83" a="1"/>
  <c r="S205" i="83" s="1"/>
  <c r="T133" i="83"/>
  <c r="I133" i="83"/>
  <c r="J178" i="83" a="1"/>
  <c r="J178" i="83" s="1"/>
  <c r="I178" i="83" a="1"/>
  <c r="I178" i="83" s="1"/>
  <c r="U174" i="83" a="1"/>
  <c r="U174" i="83" s="1"/>
  <c r="T174" i="83" a="1"/>
  <c r="T174" i="83" s="1"/>
  <c r="H206" i="83" a="1"/>
  <c r="H206" i="83" s="1"/>
  <c r="R175" i="83" a="1"/>
  <c r="R175" i="83" s="1"/>
  <c r="H176" i="83" a="1"/>
  <c r="H176" i="83" s="1"/>
  <c r="J177" i="83" a="1"/>
  <c r="J177" i="83" s="1"/>
  <c r="R206" i="83" a="1"/>
  <c r="R206" i="83" s="1"/>
  <c r="I95" i="82"/>
  <c r="H79" i="83" a="1"/>
  <c r="H79" i="83" s="1"/>
  <c r="Q155" i="83"/>
  <c r="G179" i="83" a="1"/>
  <c r="G179" i="83" s="1"/>
  <c r="S179" i="83" a="1"/>
  <c r="S179" i="83" s="1"/>
  <c r="G175" i="83" a="1"/>
  <c r="G175" i="83" s="1"/>
  <c r="S175" i="83" a="1"/>
  <c r="S175" i="83" s="1"/>
  <c r="I176" i="83" a="1"/>
  <c r="I176" i="83" s="1"/>
  <c r="G206" i="83" a="1"/>
  <c r="G206" i="83" s="1"/>
  <c r="S206" i="83" a="1"/>
  <c r="S206" i="83" s="1"/>
  <c r="F95" i="82"/>
  <c r="R79" i="83" a="1"/>
  <c r="R79" i="83" s="1"/>
  <c r="R114" i="83" s="1" a="1"/>
  <c r="R114" i="83" s="1"/>
  <c r="F153" i="83"/>
  <c r="F175" i="83" s="1" a="1"/>
  <c r="F175" i="83" s="1"/>
  <c r="Q156" i="83"/>
  <c r="Q178" i="83" s="1" a="1"/>
  <c r="Q178" i="83" s="1"/>
  <c r="R162" i="83"/>
  <c r="S173" i="83" a="1"/>
  <c r="S173" i="83" s="1"/>
  <c r="I174" i="83" a="1"/>
  <c r="I174" i="83" s="1"/>
  <c r="H177" i="83" a="1"/>
  <c r="H177" i="83" s="1"/>
  <c r="T177" i="83" a="1"/>
  <c r="T177" i="83" s="1"/>
  <c r="G119" i="82"/>
  <c r="F79" i="83" a="1"/>
  <c r="F79" i="83" s="1"/>
  <c r="D91" i="82"/>
  <c r="H119" i="82"/>
  <c r="D80" i="82"/>
  <c r="D90" i="82"/>
  <c r="D81" i="82"/>
  <c r="E120" i="82"/>
  <c r="F120" i="82"/>
  <c r="D104" i="82"/>
  <c r="D114" i="82"/>
  <c r="G120" i="82"/>
  <c r="E95" i="82"/>
  <c r="H120" i="82"/>
  <c r="Q133" i="83" l="1" a="1"/>
  <c r="Q133" i="83" s="1"/>
  <c r="P50" i="84"/>
  <c r="P126" i="84" s="1" a="1"/>
  <c r="P126" i="84" s="1"/>
  <c r="S133" i="83" a="1"/>
  <c r="S133" i="83" s="1"/>
  <c r="R50" i="84"/>
  <c r="R126" i="84" s="1" a="1"/>
  <c r="R126" i="84" s="1"/>
  <c r="P133" i="83" a="1"/>
  <c r="P133" i="83" s="1"/>
  <c r="O50" i="84"/>
  <c r="O126" i="84" s="1" a="1"/>
  <c r="O126" i="84" s="1"/>
  <c r="R133" i="83" a="1"/>
  <c r="R133" i="83" s="1"/>
  <c r="Q50" i="84"/>
  <c r="Q126" i="84" s="1" a="1"/>
  <c r="Q126" i="84" s="1"/>
  <c r="G114" i="83" a="1"/>
  <c r="G114" i="83" s="1"/>
  <c r="G60" i="84"/>
  <c r="Q65" i="84" s="1" a="1"/>
  <c r="Q65" i="84" s="1"/>
  <c r="Q103" i="84" s="1" a="1"/>
  <c r="Q103" i="84" s="1"/>
  <c r="Q146" i="84" s="1" a="1"/>
  <c r="Q146" i="84" s="1"/>
  <c r="Q213" i="84" s="1" a="1"/>
  <c r="Q213" i="84" s="1"/>
  <c r="E114" i="83" a="1"/>
  <c r="E114" i="83" s="1"/>
  <c r="E60" i="84"/>
  <c r="O65" i="84" s="1" a="1"/>
  <c r="O65" i="84" s="1"/>
  <c r="O103" i="84" s="1" a="1"/>
  <c r="O103" i="84" s="1"/>
  <c r="O146" i="84" s="1" a="1"/>
  <c r="O146" i="84" s="1"/>
  <c r="O176" i="84" s="1" a="1"/>
  <c r="O176" i="84" s="1"/>
  <c r="P19" i="88" s="1"/>
  <c r="R31" i="88" s="1" a="1"/>
  <c r="R31" i="88" s="1"/>
  <c r="H114" i="83" a="1"/>
  <c r="H114" i="83" s="1"/>
  <c r="H60" i="84"/>
  <c r="R65" i="84" s="1" a="1"/>
  <c r="R65" i="84" s="1"/>
  <c r="R103" i="84" s="1" a="1"/>
  <c r="R103" i="84" s="1"/>
  <c r="R146" i="84" s="1" a="1"/>
  <c r="R146" i="84" s="1"/>
  <c r="R176" i="84" s="1" a="1"/>
  <c r="R176" i="84" s="1"/>
  <c r="F114" i="83" a="1"/>
  <c r="F114" i="83" s="1"/>
  <c r="F60" i="84"/>
  <c r="P65" i="84" s="1" a="1"/>
  <c r="P65" i="84" s="1"/>
  <c r="P103" i="84" s="1" a="1"/>
  <c r="P103" i="84" s="1"/>
  <c r="G20" i="96"/>
  <c r="I20" i="96" s="1" a="1"/>
  <c r="I20" i="96" s="1"/>
  <c r="I22" i="96" a="1"/>
  <c r="I22" i="96" s="1"/>
  <c r="I21" i="96" a="1"/>
  <c r="I21" i="96" s="1"/>
  <c r="P21" i="94"/>
  <c r="Q21" i="94" s="1"/>
  <c r="Q29" i="94"/>
  <c r="H320" i="121" a="1"/>
  <c r="H320" i="121" s="1"/>
  <c r="G320" i="121" a="1"/>
  <c r="G320" i="121" s="1"/>
  <c r="F320" i="121" a="1"/>
  <c r="F320" i="121" s="1"/>
  <c r="P11" i="94"/>
  <c r="Q16" i="94"/>
  <c r="Q12" i="94"/>
  <c r="Q20" i="94"/>
  <c r="Q19" i="94"/>
  <c r="Q15" i="94"/>
  <c r="Q18" i="94"/>
  <c r="Q17" i="94"/>
  <c r="E34" i="95" a="1"/>
  <c r="E34" i="95" s="1"/>
  <c r="E27" i="95" a="1"/>
  <c r="E27" i="95" s="1"/>
  <c r="E20" i="95" a="1"/>
  <c r="E20" i="95" s="1"/>
  <c r="E36" i="94" a="1"/>
  <c r="E36" i="94" s="1"/>
  <c r="G36" i="94" s="1" a="1"/>
  <c r="G36" i="94" s="1"/>
  <c r="E29" i="94" a="1"/>
  <c r="E29" i="94" s="1"/>
  <c r="G29" i="94" s="1" a="1"/>
  <c r="G29" i="94" s="1"/>
  <c r="E22" i="94" a="1"/>
  <c r="E22" i="94" s="1"/>
  <c r="G22" i="94" s="1" a="1"/>
  <c r="G22" i="94" s="1"/>
  <c r="E37" i="94" a="1"/>
  <c r="E37" i="94" s="1"/>
  <c r="G37" i="94" s="1" a="1"/>
  <c r="G37" i="94" s="1"/>
  <c r="E33" i="95" a="1"/>
  <c r="E33" i="95" s="1"/>
  <c r="E26" i="95" a="1"/>
  <c r="E26" i="95" s="1"/>
  <c r="E19" i="95" a="1"/>
  <c r="E19" i="95" s="1"/>
  <c r="E35" i="94" a="1"/>
  <c r="E35" i="94" s="1"/>
  <c r="G35" i="94" s="1" a="1"/>
  <c r="G35" i="94" s="1"/>
  <c r="E28" i="94" a="1"/>
  <c r="E28" i="94" s="1"/>
  <c r="G28" i="94" s="1" a="1"/>
  <c r="G28" i="94" s="1"/>
  <c r="E28" i="95" a="1"/>
  <c r="E28" i="95" s="1"/>
  <c r="E35" i="95" a="1"/>
  <c r="E35" i="95" s="1"/>
  <c r="E32" i="95" a="1"/>
  <c r="E32" i="95" s="1"/>
  <c r="E25" i="95" a="1"/>
  <c r="E25" i="95" s="1"/>
  <c r="E34" i="94" a="1"/>
  <c r="E34" i="94" s="1"/>
  <c r="G34" i="94" s="1" a="1"/>
  <c r="G34" i="94" s="1"/>
  <c r="E27" i="94" a="1"/>
  <c r="E27" i="94" s="1"/>
  <c r="G27" i="94" s="1" a="1"/>
  <c r="G27" i="94" s="1"/>
  <c r="E21" i="94" a="1"/>
  <c r="E21" i="94" s="1"/>
  <c r="G21" i="94" s="1" a="1"/>
  <c r="G21" i="94" s="1"/>
  <c r="E31" i="95" a="1"/>
  <c r="E31" i="95" s="1"/>
  <c r="E24" i="95" a="1"/>
  <c r="E24" i="95" s="1"/>
  <c r="E33" i="94" a="1"/>
  <c r="E33" i="94" s="1"/>
  <c r="G33" i="94" s="1" a="1"/>
  <c r="G33" i="94" s="1"/>
  <c r="E26" i="94" a="1"/>
  <c r="E26" i="94" s="1"/>
  <c r="G26" i="94" s="1" a="1"/>
  <c r="G26" i="94" s="1"/>
  <c r="E20" i="94" a="1"/>
  <c r="E20" i="94" s="1"/>
  <c r="G20" i="94" s="1" a="1"/>
  <c r="G20" i="94" s="1"/>
  <c r="E23" i="94" a="1"/>
  <c r="E23" i="94" s="1"/>
  <c r="G23" i="94" s="1" a="1"/>
  <c r="G23" i="94" s="1"/>
  <c r="E236" i="121" a="1"/>
  <c r="E37" i="95" a="1"/>
  <c r="E37" i="95" s="1"/>
  <c r="G37" i="95" s="1" a="1"/>
  <c r="G37" i="95" s="1"/>
  <c r="E76" i="95" s="1" a="1"/>
  <c r="E76" i="95" s="1"/>
  <c r="E30" i="95" a="1"/>
  <c r="E30" i="95" s="1"/>
  <c r="G30" i="95" s="1" a="1"/>
  <c r="G30" i="95" s="1"/>
  <c r="E69" i="95" s="1" a="1"/>
  <c r="E69" i="95" s="1"/>
  <c r="E23" i="95" a="1"/>
  <c r="E23" i="95" s="1"/>
  <c r="G23" i="95" s="1" a="1"/>
  <c r="G23" i="95" s="1"/>
  <c r="E62" i="95" s="1" a="1"/>
  <c r="E62" i="95" s="1"/>
  <c r="E32" i="94" a="1"/>
  <c r="E32" i="94" s="1"/>
  <c r="G32" i="94" s="1" a="1"/>
  <c r="G32" i="94" s="1"/>
  <c r="E25" i="94" a="1"/>
  <c r="E25" i="94" s="1"/>
  <c r="G25" i="94" s="1" a="1"/>
  <c r="G25" i="94" s="1"/>
  <c r="E30" i="94" a="1"/>
  <c r="E30" i="94" s="1"/>
  <c r="G30" i="94" s="1" a="1"/>
  <c r="G30" i="94" s="1"/>
  <c r="E19" i="94" a="1"/>
  <c r="E19" i="94" s="1"/>
  <c r="G19" i="94" s="1" a="1"/>
  <c r="G19" i="94" s="1"/>
  <c r="E36" i="95" a="1"/>
  <c r="E36" i="95" s="1"/>
  <c r="G36" i="95" s="1" a="1"/>
  <c r="G36" i="95" s="1"/>
  <c r="E75" i="95" s="1" a="1"/>
  <c r="E75" i="95" s="1"/>
  <c r="E29" i="95" a="1"/>
  <c r="E29" i="95" s="1"/>
  <c r="G29" i="95" s="1" a="1"/>
  <c r="G29" i="95" s="1"/>
  <c r="E68" i="95" s="1" a="1"/>
  <c r="E68" i="95" s="1"/>
  <c r="E22" i="95" a="1"/>
  <c r="E22" i="95" s="1"/>
  <c r="G22" i="95" s="1" a="1"/>
  <c r="G22" i="95" s="1"/>
  <c r="E61" i="95" s="1" a="1"/>
  <c r="E61" i="95" s="1"/>
  <c r="E31" i="94" a="1"/>
  <c r="E31" i="94" s="1"/>
  <c r="G31" i="94" s="1" a="1"/>
  <c r="G31" i="94" s="1"/>
  <c r="E24" i="94" a="1"/>
  <c r="E24" i="94" s="1"/>
  <c r="G24" i="94" s="1" a="1"/>
  <c r="G24" i="94" s="1"/>
  <c r="E21" i="95" a="1"/>
  <c r="E21" i="95" s="1"/>
  <c r="G21" i="95" s="1" a="1"/>
  <c r="G21" i="95" s="1"/>
  <c r="E60" i="95" s="1" a="1"/>
  <c r="E60" i="95" s="1"/>
  <c r="E181" i="121"/>
  <c r="O79" i="83" a="1"/>
  <c r="O79" i="83" s="1"/>
  <c r="O114" i="83" s="1" a="1"/>
  <c r="O114" i="83" s="1"/>
  <c r="D93" i="84"/>
  <c r="H255" i="121" a="1"/>
  <c r="H255" i="121" s="1"/>
  <c r="H257" i="121" a="1"/>
  <c r="H257" i="121" s="1"/>
  <c r="K243" i="121" a="1"/>
  <c r="K243" i="121" s="1"/>
  <c r="Q30" i="106" a="1"/>
  <c r="Q30" i="106" s="1"/>
  <c r="Q32" i="105" a="1"/>
  <c r="Q32" i="105" s="1"/>
  <c r="F254" i="121" a="1"/>
  <c r="F254" i="121" s="1"/>
  <c r="G254" i="121" s="1" a="1"/>
  <c r="G254" i="121" s="1"/>
  <c r="E53" i="121"/>
  <c r="K257" i="121" a="1"/>
  <c r="K257" i="121" s="1"/>
  <c r="E488" i="121"/>
  <c r="H237" i="121" a="1"/>
  <c r="H237" i="121" s="1"/>
  <c r="O74" i="122" a="1"/>
  <c r="O74" i="122" s="1"/>
  <c r="T86" i="122" s="1"/>
  <c r="O90" i="122" s="1" a="1"/>
  <c r="O90" i="122" s="1"/>
  <c r="R586" i="121" s="1"/>
  <c r="H385" i="121" a="1"/>
  <c r="H385" i="121" s="1"/>
  <c r="K253" i="121" a="1"/>
  <c r="K253" i="121" s="1"/>
  <c r="K242" i="121" a="1"/>
  <c r="K242" i="121" s="1"/>
  <c r="H243" i="121" a="1"/>
  <c r="H243" i="121" s="1"/>
  <c r="F241" i="121" a="1"/>
  <c r="F241" i="121" s="1"/>
  <c r="G241" i="121" s="1" a="1"/>
  <c r="G241" i="121" s="1"/>
  <c r="F129" i="121"/>
  <c r="G129" i="121" s="1" a="1"/>
  <c r="G129" i="121" s="1"/>
  <c r="F122" i="121"/>
  <c r="G122" i="121" s="1" a="1"/>
  <c r="G122" i="121" s="1"/>
  <c r="H260" i="121" a="1"/>
  <c r="H260" i="121" s="1"/>
  <c r="E426" i="121"/>
  <c r="E142" i="121"/>
  <c r="H256" i="121" a="1"/>
  <c r="H256" i="121" s="1"/>
  <c r="H254" i="121" a="1"/>
  <c r="H254" i="121" s="1"/>
  <c r="F237" i="121" a="1"/>
  <c r="F237" i="121" s="1"/>
  <c r="G237" i="121" s="1" a="1"/>
  <c r="G237" i="121" s="1"/>
  <c r="K261" i="121" a="1"/>
  <c r="K261" i="121" s="1"/>
  <c r="E155" i="121"/>
  <c r="K258" i="121" a="1"/>
  <c r="K258" i="121" s="1"/>
  <c r="E156" i="121"/>
  <c r="G293" i="121" a="1"/>
  <c r="G293" i="121" s="1"/>
  <c r="F236" i="121" a="1"/>
  <c r="F236" i="121" s="1"/>
  <c r="F124" i="121"/>
  <c r="G124" i="121" s="1" a="1"/>
  <c r="G124" i="121" s="1"/>
  <c r="F258" i="121" a="1"/>
  <c r="F258" i="121" s="1"/>
  <c r="G258" i="121" s="1" a="1"/>
  <c r="G258" i="121" s="1"/>
  <c r="F255" i="121" a="1"/>
  <c r="F255" i="121" s="1"/>
  <c r="G255" i="121" s="1" a="1"/>
  <c r="G255" i="121" s="1"/>
  <c r="H258" i="121" a="1"/>
  <c r="H258" i="121" s="1"/>
  <c r="F128" i="121"/>
  <c r="I128" i="121" s="1" a="1"/>
  <c r="I128" i="121" s="1"/>
  <c r="E654" i="121"/>
  <c r="H389" i="121" a="1"/>
  <c r="H389" i="121" s="1"/>
  <c r="F238" i="121" a="1"/>
  <c r="F238" i="121" s="1"/>
  <c r="G238" i="121" s="1" a="1"/>
  <c r="G238" i="121" s="1"/>
  <c r="F123" i="121"/>
  <c r="I123" i="121" s="1" a="1"/>
  <c r="I123" i="121" s="1"/>
  <c r="E498" i="121"/>
  <c r="E487" i="121"/>
  <c r="F244" i="121" a="1"/>
  <c r="F244" i="121" s="1"/>
  <c r="G244" i="121" s="1" a="1"/>
  <c r="G244" i="121" s="1"/>
  <c r="F243" i="121" a="1"/>
  <c r="F243" i="121" s="1"/>
  <c r="G243" i="121" s="1" a="1"/>
  <c r="G243" i="121" s="1"/>
  <c r="E143" i="121"/>
  <c r="E636" i="121"/>
  <c r="G127" i="121" a="1"/>
  <c r="G127" i="121" s="1"/>
  <c r="I127" i="121" a="1"/>
  <c r="I127" i="121" s="1"/>
  <c r="F120" i="121"/>
  <c r="G120" i="121" s="1" a="1"/>
  <c r="G120" i="121" s="1"/>
  <c r="I125" i="121" a="1"/>
  <c r="I125" i="121" s="1"/>
  <c r="G125" i="121" a="1"/>
  <c r="G125" i="121" s="1"/>
  <c r="G294" i="121" a="1"/>
  <c r="G294" i="121" s="1"/>
  <c r="I294" i="121" a="1"/>
  <c r="I294" i="121" s="1"/>
  <c r="F245" i="121" a="1"/>
  <c r="F245" i="121" s="1"/>
  <c r="G245" i="121" s="1" a="1"/>
  <c r="G245" i="121" s="1"/>
  <c r="J390" i="121" a="1"/>
  <c r="J390" i="121" s="1"/>
  <c r="I285" i="121" a="1"/>
  <c r="I285" i="121" s="1"/>
  <c r="G285" i="121" a="1"/>
  <c r="G285" i="121" s="1"/>
  <c r="G296" i="121" a="1"/>
  <c r="G296" i="121" s="1"/>
  <c r="I296" i="121" a="1"/>
  <c r="I296" i="121" s="1"/>
  <c r="K238" i="121" a="1"/>
  <c r="K238" i="121" s="1"/>
  <c r="H242" i="121" a="1"/>
  <c r="H242" i="121" s="1"/>
  <c r="F260" i="121" a="1"/>
  <c r="F260" i="121" s="1"/>
  <c r="G260" i="121" s="1" a="1"/>
  <c r="G260" i="121" s="1"/>
  <c r="E517" i="121"/>
  <c r="J383" i="121" a="1"/>
  <c r="J383" i="121" s="1"/>
  <c r="H383" i="121" a="1"/>
  <c r="H383" i="121" s="1"/>
  <c r="K256" i="121" a="1"/>
  <c r="K256" i="121" s="1"/>
  <c r="H453" i="121" a="1"/>
  <c r="H453" i="121" s="1"/>
  <c r="J453" i="121" a="1"/>
  <c r="J453" i="121" s="1"/>
  <c r="H241" i="121" a="1"/>
  <c r="H241" i="121" s="1"/>
  <c r="H239" i="121" a="1"/>
  <c r="H239" i="121" s="1"/>
  <c r="F239" i="121" a="1"/>
  <c r="F239" i="121" s="1"/>
  <c r="G239" i="121" s="1" a="1"/>
  <c r="G239" i="121" s="1"/>
  <c r="F252" i="121" a="1"/>
  <c r="F252" i="121" s="1"/>
  <c r="G252" i="121" s="1" a="1"/>
  <c r="G252" i="121" s="1"/>
  <c r="K252" i="121" a="1"/>
  <c r="K252" i="121" s="1"/>
  <c r="H252" i="121" a="1"/>
  <c r="H252" i="121" s="1"/>
  <c r="J451" i="121" a="1"/>
  <c r="J451" i="121" s="1"/>
  <c r="H451" i="121" a="1"/>
  <c r="H451" i="121" s="1"/>
  <c r="I295" i="121" a="1"/>
  <c r="I295" i="121" s="1"/>
  <c r="G295" i="121" a="1"/>
  <c r="G295" i="121" s="1"/>
  <c r="M23" i="121" a="1"/>
  <c r="M23" i="121" s="1"/>
  <c r="J23" i="121" a="1"/>
  <c r="J23" i="121" s="1"/>
  <c r="H463" i="121" a="1"/>
  <c r="H463" i="121" s="1"/>
  <c r="K245" i="121" a="1"/>
  <c r="K245" i="121" s="1"/>
  <c r="H387" i="121" a="1"/>
  <c r="H387" i="121" s="1"/>
  <c r="G289" i="121" a="1"/>
  <c r="G289" i="121" s="1"/>
  <c r="I289" i="121" a="1"/>
  <c r="I289" i="121" s="1"/>
  <c r="G79" i="121" a="1"/>
  <c r="G79" i="121" s="1"/>
  <c r="E90" i="121" s="1"/>
  <c r="J79" i="121" a="1"/>
  <c r="J79" i="121" s="1"/>
  <c r="E91" i="121" s="1"/>
  <c r="I327" i="121" a="1"/>
  <c r="I327" i="121" s="1"/>
  <c r="I329" i="121" a="1"/>
  <c r="I329" i="121" s="1"/>
  <c r="J325" i="121" a="1"/>
  <c r="J325" i="121" s="1"/>
  <c r="J328" i="121" a="1"/>
  <c r="J328" i="121" s="1"/>
  <c r="J322" i="121" a="1"/>
  <c r="J322" i="121" s="1"/>
  <c r="J327" i="121" a="1"/>
  <c r="J327" i="121" s="1"/>
  <c r="J326" i="121" a="1"/>
  <c r="J326" i="121" s="1"/>
  <c r="I326" i="121" a="1"/>
  <c r="I326" i="121" s="1"/>
  <c r="I323" i="121" a="1"/>
  <c r="I323" i="121" s="1"/>
  <c r="I321" i="121" a="1"/>
  <c r="I321" i="121" s="1"/>
  <c r="I328" i="121" a="1"/>
  <c r="I328" i="121" s="1"/>
  <c r="H259" i="121" a="1"/>
  <c r="H259" i="121" s="1"/>
  <c r="F242" i="121" a="1"/>
  <c r="F242" i="121" s="1"/>
  <c r="G242" i="121" s="1" a="1"/>
  <c r="G242" i="121" s="1"/>
  <c r="M28" i="121" a="1"/>
  <c r="M28" i="121" s="1"/>
  <c r="G291" i="121" a="1"/>
  <c r="G291" i="121" s="1"/>
  <c r="K260" i="121" a="1"/>
  <c r="K260" i="121" s="1"/>
  <c r="F256" i="121" a="1"/>
  <c r="F256" i="121" s="1"/>
  <c r="G256" i="121" s="1" a="1"/>
  <c r="G256" i="121" s="1"/>
  <c r="F261" i="121" a="1"/>
  <c r="F261" i="121" s="1"/>
  <c r="G261" i="121" s="1" a="1"/>
  <c r="G261" i="121" s="1"/>
  <c r="E363" i="121"/>
  <c r="H261" i="121" a="1"/>
  <c r="H261" i="121" s="1"/>
  <c r="H253" i="121" a="1"/>
  <c r="H253" i="121" s="1"/>
  <c r="F253" i="121" a="1"/>
  <c r="F253" i="121" s="1"/>
  <c r="G253" i="121" s="1" a="1"/>
  <c r="G253" i="121" s="1"/>
  <c r="F240" i="121" a="1"/>
  <c r="F240" i="121" s="1"/>
  <c r="G240" i="121" s="1" a="1"/>
  <c r="G240" i="121" s="1"/>
  <c r="I120" i="121" a="1"/>
  <c r="I120" i="121" s="1"/>
  <c r="I286" i="121" a="1"/>
  <c r="I286" i="121" s="1"/>
  <c r="G286" i="121" a="1"/>
  <c r="G286" i="121" s="1"/>
  <c r="K241" i="121" a="1"/>
  <c r="K241" i="121" s="1"/>
  <c r="J61" i="121" a="1"/>
  <c r="J61" i="121" s="1"/>
  <c r="E73" i="121" s="1"/>
  <c r="G61" i="121" a="1"/>
  <c r="G61" i="121" s="1"/>
  <c r="E72" i="121" s="1"/>
  <c r="F121" i="121"/>
  <c r="G121" i="121" s="1" a="1"/>
  <c r="G121" i="121" s="1"/>
  <c r="K255" i="121" a="1"/>
  <c r="K255" i="121" s="1"/>
  <c r="I288" i="121" a="1"/>
  <c r="I288" i="121" s="1"/>
  <c r="G288" i="121" a="1"/>
  <c r="G288" i="121" s="1"/>
  <c r="E54" i="121"/>
  <c r="G287" i="121" a="1"/>
  <c r="G287" i="121" s="1"/>
  <c r="H471" i="121" a="1"/>
  <c r="H471" i="121" s="1"/>
  <c r="J471" i="121" a="1"/>
  <c r="J471" i="121" s="1"/>
  <c r="K254" i="121" a="1"/>
  <c r="K254" i="121" s="1"/>
  <c r="F259" i="121" a="1"/>
  <c r="F259" i="121" s="1"/>
  <c r="G259" i="121" s="1" a="1"/>
  <c r="G259" i="121" s="1"/>
  <c r="I290" i="121" a="1"/>
  <c r="I290" i="121" s="1"/>
  <c r="G290" i="121" a="1"/>
  <c r="G290" i="121" s="1"/>
  <c r="F257" i="121" a="1"/>
  <c r="F257" i="121" s="1"/>
  <c r="G257" i="121" s="1" a="1"/>
  <c r="G257" i="121" s="1"/>
  <c r="K259" i="121" a="1"/>
  <c r="K259" i="121" s="1"/>
  <c r="K239" i="121" a="1"/>
  <c r="K239" i="121" s="1"/>
  <c r="K244" i="121" a="1"/>
  <c r="K244" i="121" s="1"/>
  <c r="J26" i="121" a="1"/>
  <c r="J26" i="121" s="1"/>
  <c r="F126" i="121"/>
  <c r="J469" i="121" a="1"/>
  <c r="J469" i="121" s="1"/>
  <c r="H469" i="121" a="1"/>
  <c r="H469" i="121" s="1"/>
  <c r="J382" i="121" a="1"/>
  <c r="J382" i="121" s="1"/>
  <c r="H382" i="121" a="1"/>
  <c r="H382" i="121" s="1"/>
  <c r="I292" i="121" a="1"/>
  <c r="I292" i="121" s="1"/>
  <c r="G292" i="121" a="1"/>
  <c r="G292" i="121" s="1"/>
  <c r="E21" i="112" a="1"/>
  <c r="E21" i="112" s="1"/>
  <c r="I52" i="109" a="1"/>
  <c r="I52" i="109" s="1"/>
  <c r="H147" i="109" s="1"/>
  <c r="I64" i="109" a="1"/>
  <c r="I64" i="109" s="1"/>
  <c r="H162" i="109" s="1"/>
  <c r="I162" i="109" s="1"/>
  <c r="K162" i="109" s="1" a="1"/>
  <c r="K162" i="109" s="1"/>
  <c r="O21" i="112" a="1"/>
  <c r="O21" i="112" s="1"/>
  <c r="I89" i="109" a="1"/>
  <c r="I89" i="109" s="1"/>
  <c r="H187" i="109" s="1"/>
  <c r="I91" i="109" a="1"/>
  <c r="I91" i="109" s="1"/>
  <c r="H189" i="109" s="1"/>
  <c r="I38" i="109" a="1"/>
  <c r="I38" i="109" s="1"/>
  <c r="H133" i="109" s="1"/>
  <c r="I133" i="109" s="1"/>
  <c r="K133" i="109" s="1" a="1"/>
  <c r="K133" i="109" s="1"/>
  <c r="I40" i="109" a="1"/>
  <c r="I40" i="109" s="1"/>
  <c r="H135" i="109" s="1"/>
  <c r="I135" i="109" s="1"/>
  <c r="K135" i="109" s="1" a="1"/>
  <c r="K135" i="109" s="1"/>
  <c r="I26" i="109" a="1"/>
  <c r="I26" i="109" s="1"/>
  <c r="H121" i="109" s="1"/>
  <c r="I121" i="109" s="1"/>
  <c r="K121" i="109" s="1" a="1"/>
  <c r="K121" i="109" s="1"/>
  <c r="I63" i="109" a="1"/>
  <c r="I63" i="109" s="1"/>
  <c r="H161" i="109" s="1"/>
  <c r="I161" i="109" s="1"/>
  <c r="K161" i="109" s="1" a="1"/>
  <c r="K161" i="109" s="1"/>
  <c r="I134" i="109"/>
  <c r="K134" i="109" s="1" a="1"/>
  <c r="K134" i="109" s="1"/>
  <c r="I67" i="109" a="1"/>
  <c r="I67" i="109" s="1"/>
  <c r="H165" i="109" s="1"/>
  <c r="I165" i="109" s="1"/>
  <c r="K165" i="109" s="1" a="1"/>
  <c r="K165" i="109" s="1"/>
  <c r="I69" i="109" a="1"/>
  <c r="I69" i="109" s="1"/>
  <c r="H167" i="109" s="1"/>
  <c r="I167" i="109" s="1"/>
  <c r="K167" i="109" s="1" a="1"/>
  <c r="K167" i="109" s="1"/>
  <c r="I79" i="109" a="1"/>
  <c r="I79" i="109" s="1"/>
  <c r="H177" i="109" s="1"/>
  <c r="I177" i="109" s="1"/>
  <c r="K177" i="109" s="1" a="1"/>
  <c r="K177" i="109" s="1"/>
  <c r="I33" i="109" a="1"/>
  <c r="I33" i="109" s="1"/>
  <c r="H128" i="109" s="1"/>
  <c r="I73" i="109" a="1"/>
  <c r="I73" i="109" s="1"/>
  <c r="H171" i="109" s="1"/>
  <c r="I75" i="109" a="1"/>
  <c r="I75" i="109" s="1"/>
  <c r="H173" i="109" s="1"/>
  <c r="I173" i="109" s="1"/>
  <c r="K173" i="109" s="1" a="1"/>
  <c r="K173" i="109" s="1"/>
  <c r="I23" i="109" a="1"/>
  <c r="I23" i="109" s="1"/>
  <c r="H118" i="109" s="1"/>
  <c r="I118" i="109" s="1"/>
  <c r="K118" i="109" s="1" a="1"/>
  <c r="K118" i="109" s="1"/>
  <c r="I25" i="109" a="1"/>
  <c r="I25" i="109" s="1"/>
  <c r="H120" i="109" s="1"/>
  <c r="I120" i="109" s="1"/>
  <c r="K120" i="109" s="1" a="1"/>
  <c r="K120" i="109" s="1"/>
  <c r="I35" i="109" a="1"/>
  <c r="I35" i="109" s="1"/>
  <c r="H130" i="109" s="1"/>
  <c r="I50" i="109" a="1"/>
  <c r="I50" i="109" s="1"/>
  <c r="H145" i="109" s="1"/>
  <c r="I126" i="109"/>
  <c r="K126" i="109" s="1" a="1"/>
  <c r="K126" i="109" s="1"/>
  <c r="I42" i="109" a="1"/>
  <c r="I42" i="109" s="1"/>
  <c r="H137" i="109" s="1"/>
  <c r="I137" i="109" s="1"/>
  <c r="K137" i="109" s="1" a="1"/>
  <c r="K137" i="109" s="1"/>
  <c r="I65" i="109" a="1"/>
  <c r="I65" i="109" s="1"/>
  <c r="H163" i="109" s="1"/>
  <c r="I163" i="109" s="1"/>
  <c r="K163" i="109" s="1" a="1"/>
  <c r="K163" i="109" s="1"/>
  <c r="I62" i="109" a="1"/>
  <c r="I62" i="109" s="1"/>
  <c r="H160" i="109" s="1"/>
  <c r="I160" i="109" s="1"/>
  <c r="K160" i="109" s="1" a="1"/>
  <c r="K160" i="109" s="1"/>
  <c r="I77" i="109" a="1"/>
  <c r="I77" i="109" s="1"/>
  <c r="H175" i="109" s="1"/>
  <c r="I175" i="109" s="1"/>
  <c r="K175" i="109" s="1" a="1"/>
  <c r="K175" i="109" s="1"/>
  <c r="I92" i="109" a="1"/>
  <c r="I92" i="109" s="1"/>
  <c r="H190" i="109" s="1"/>
  <c r="I27" i="109" a="1"/>
  <c r="I27" i="109" s="1"/>
  <c r="H122" i="109" s="1"/>
  <c r="I122" i="109" s="1"/>
  <c r="K122" i="109" s="1" a="1"/>
  <c r="K122" i="109" s="1"/>
  <c r="I84" i="109" a="1"/>
  <c r="I84" i="109" s="1"/>
  <c r="H182" i="109" s="1"/>
  <c r="I60" i="109" a="1"/>
  <c r="I60" i="109" s="1"/>
  <c r="H158" i="109" s="1"/>
  <c r="I158" i="109" s="1"/>
  <c r="K158" i="109" s="1" a="1"/>
  <c r="K158" i="109" s="1"/>
  <c r="I54" i="109" a="1"/>
  <c r="I54" i="109" s="1"/>
  <c r="H149" i="109" s="1"/>
  <c r="I72" i="109" a="1"/>
  <c r="I72" i="109" s="1"/>
  <c r="H170" i="109" s="1"/>
  <c r="I76" i="109" a="1"/>
  <c r="I76" i="109" s="1"/>
  <c r="H174" i="109" s="1"/>
  <c r="I174" i="109" s="1"/>
  <c r="K174" i="109" s="1" a="1"/>
  <c r="K174" i="109" s="1"/>
  <c r="I21" i="109" a="1"/>
  <c r="I21" i="109" s="1"/>
  <c r="H116" i="109" s="1"/>
  <c r="I74" i="109" a="1"/>
  <c r="I74" i="109" s="1"/>
  <c r="H172" i="109" s="1"/>
  <c r="I41" i="109" a="1"/>
  <c r="I41" i="109" s="1"/>
  <c r="H136" i="109" s="1"/>
  <c r="I136" i="109" s="1"/>
  <c r="K136" i="109" s="1" a="1"/>
  <c r="K136" i="109" s="1"/>
  <c r="I68" i="109" a="1"/>
  <c r="I68" i="109" s="1"/>
  <c r="H166" i="109" s="1"/>
  <c r="I166" i="109" s="1"/>
  <c r="K166" i="109" s="1" a="1"/>
  <c r="K166" i="109" s="1"/>
  <c r="I44" i="109" a="1"/>
  <c r="I44" i="109" s="1"/>
  <c r="H139" i="109" s="1"/>
  <c r="I46" i="109" a="1"/>
  <c r="I46" i="109" s="1"/>
  <c r="H141" i="109" s="1"/>
  <c r="I48" i="109" a="1"/>
  <c r="I48" i="109" s="1"/>
  <c r="H143" i="109" s="1"/>
  <c r="I66" i="109" a="1"/>
  <c r="I66" i="109" s="1"/>
  <c r="H164" i="109" s="1"/>
  <c r="I164" i="109" s="1"/>
  <c r="K164" i="109" s="1" a="1"/>
  <c r="K164" i="109" s="1"/>
  <c r="I34" i="109" a="1"/>
  <c r="I34" i="109" s="1"/>
  <c r="H129" i="109" s="1"/>
  <c r="I119" i="109"/>
  <c r="K119" i="109" s="1" a="1"/>
  <c r="K119" i="109" s="1"/>
  <c r="I132" i="109"/>
  <c r="K132" i="109" s="1" a="1"/>
  <c r="K132" i="109" s="1"/>
  <c r="I61" i="109" a="1"/>
  <c r="I61" i="109" s="1"/>
  <c r="H159" i="109" s="1"/>
  <c r="I159" i="109" s="1"/>
  <c r="K159" i="109" s="1" a="1"/>
  <c r="K159" i="109" s="1"/>
  <c r="I86" i="109" a="1"/>
  <c r="I86" i="109" s="1"/>
  <c r="H184" i="109" s="1"/>
  <c r="I36" i="109" a="1"/>
  <c r="I36" i="109" s="1"/>
  <c r="H131" i="109" s="1"/>
  <c r="I124" i="109"/>
  <c r="K124" i="109" s="1" a="1"/>
  <c r="K124" i="109" s="1"/>
  <c r="I82" i="109" a="1"/>
  <c r="I82" i="109" s="1"/>
  <c r="H180" i="109" s="1"/>
  <c r="I117" i="109"/>
  <c r="K117" i="109" s="1" a="1"/>
  <c r="K117" i="109" s="1"/>
  <c r="I78" i="109" a="1"/>
  <c r="I78" i="109" s="1"/>
  <c r="H176" i="109" s="1"/>
  <c r="I176" i="109" s="1"/>
  <c r="K176" i="109" s="1" a="1"/>
  <c r="K176" i="109" s="1"/>
  <c r="I80" i="109" a="1"/>
  <c r="I80" i="109" s="1"/>
  <c r="H178" i="109" s="1"/>
  <c r="I178" i="109" s="1"/>
  <c r="K178" i="109" s="1" a="1"/>
  <c r="K178" i="109" s="1"/>
  <c r="I83" i="109" a="1"/>
  <c r="I83" i="109" s="1"/>
  <c r="H181" i="109" s="1"/>
  <c r="I28" i="109" a="1"/>
  <c r="I28" i="109" s="1"/>
  <c r="H123" i="109" s="1"/>
  <c r="I123" i="109" s="1"/>
  <c r="K123" i="109" s="1" a="1"/>
  <c r="K123" i="109" s="1"/>
  <c r="I30" i="109" a="1"/>
  <c r="I30" i="109" s="1"/>
  <c r="H125" i="109" s="1"/>
  <c r="I125" i="109" s="1"/>
  <c r="K125" i="109" s="1" a="1"/>
  <c r="K125" i="109" s="1"/>
  <c r="I85" i="109" a="1"/>
  <c r="I85" i="109" s="1"/>
  <c r="H183" i="109" s="1"/>
  <c r="I59" i="109" a="1"/>
  <c r="I59" i="109" s="1"/>
  <c r="H157" i="109" s="1"/>
  <c r="I71" i="109" a="1"/>
  <c r="I71" i="109" s="1"/>
  <c r="H169" i="109" s="1"/>
  <c r="F72" i="99" a="1"/>
  <c r="F72" i="99" s="1"/>
  <c r="P33" i="106" a="1"/>
  <c r="P33" i="106" s="1"/>
  <c r="O33" i="106" a="1"/>
  <c r="O33" i="106" s="1"/>
  <c r="N33" i="106" a="1"/>
  <c r="N33" i="106" s="1"/>
  <c r="N34" i="106" a="1"/>
  <c r="N34" i="106" s="1"/>
  <c r="Q34" i="106" a="1"/>
  <c r="Q34" i="106" s="1"/>
  <c r="P34" i="106" a="1"/>
  <c r="P34" i="106" s="1"/>
  <c r="O34" i="106" a="1"/>
  <c r="O34" i="106" s="1"/>
  <c r="P25" i="106" a="1"/>
  <c r="P25" i="106" s="1"/>
  <c r="O25" i="106" a="1"/>
  <c r="O25" i="106" s="1"/>
  <c r="N25" i="106" a="1"/>
  <c r="N25" i="106" s="1"/>
  <c r="N37" i="106" a="1"/>
  <c r="N37" i="106" s="1"/>
  <c r="P30" i="106" a="1"/>
  <c r="P30" i="106" s="1"/>
  <c r="O30" i="106" a="1"/>
  <c r="O30" i="106" s="1"/>
  <c r="N30" i="106" a="1"/>
  <c r="N30" i="106" s="1"/>
  <c r="O37" i="106" a="1"/>
  <c r="O37" i="106" s="1"/>
  <c r="P39" i="106" a="1"/>
  <c r="P39" i="106" s="1"/>
  <c r="O39" i="106" a="1"/>
  <c r="O39" i="106" s="1"/>
  <c r="N39" i="106" a="1"/>
  <c r="N39" i="106" s="1"/>
  <c r="N27" i="106" a="1"/>
  <c r="N27" i="106" s="1"/>
  <c r="Q27" i="106" a="1"/>
  <c r="Q27" i="106" s="1"/>
  <c r="P27" i="106" a="1"/>
  <c r="P27" i="106" s="1"/>
  <c r="O27" i="106" a="1"/>
  <c r="O27" i="106" s="1"/>
  <c r="P37" i="106" a="1"/>
  <c r="P37" i="106" s="1"/>
  <c r="P28" i="106" a="1"/>
  <c r="P28" i="106" s="1"/>
  <c r="O28" i="106" a="1"/>
  <c r="O28" i="106" s="1"/>
  <c r="N28" i="106" a="1"/>
  <c r="N28" i="106" s="1"/>
  <c r="P26" i="106" a="1"/>
  <c r="P26" i="106" s="1"/>
  <c r="O26" i="106" a="1"/>
  <c r="O26" i="106" s="1"/>
  <c r="N26" i="106" a="1"/>
  <c r="N26" i="106" s="1"/>
  <c r="N40" i="106" a="1"/>
  <c r="N40" i="106" s="1"/>
  <c r="Q25" i="106" a="1"/>
  <c r="Q25" i="106" s="1"/>
  <c r="O40" i="106" a="1"/>
  <c r="O40" i="106" s="1"/>
  <c r="Q39" i="106" a="1"/>
  <c r="Q39" i="106" s="1"/>
  <c r="P32" i="106" a="1"/>
  <c r="P32" i="106" s="1"/>
  <c r="O32" i="106" a="1"/>
  <c r="O32" i="106" s="1"/>
  <c r="N32" i="106" a="1"/>
  <c r="N32" i="106" s="1"/>
  <c r="Q33" i="106" a="1"/>
  <c r="Q33" i="106" s="1"/>
  <c r="P31" i="106" a="1"/>
  <c r="P31" i="106" s="1"/>
  <c r="O31" i="106" a="1"/>
  <c r="O31" i="106" s="1"/>
  <c r="N31" i="106" a="1"/>
  <c r="N31" i="106" s="1"/>
  <c r="Q26" i="106" a="1"/>
  <c r="Q26" i="106" s="1"/>
  <c r="P31" i="105" a="1"/>
  <c r="P31" i="105" s="1"/>
  <c r="O31" i="105" a="1"/>
  <c r="O31" i="105" s="1"/>
  <c r="N31" i="105" a="1"/>
  <c r="N31" i="105" s="1"/>
  <c r="P30" i="105" a="1"/>
  <c r="P30" i="105" s="1"/>
  <c r="O30" i="105" a="1"/>
  <c r="O30" i="105" s="1"/>
  <c r="N30" i="105" a="1"/>
  <c r="N30" i="105" s="1"/>
  <c r="Q30" i="105" a="1"/>
  <c r="Q30" i="105" s="1"/>
  <c r="Q26" i="105" a="1"/>
  <c r="Q26" i="105" s="1"/>
  <c r="P26" i="105" a="1"/>
  <c r="P26" i="105" s="1"/>
  <c r="O26" i="105" a="1"/>
  <c r="O26" i="105" s="1"/>
  <c r="N26" i="105" a="1"/>
  <c r="N26" i="105" s="1"/>
  <c r="Q31" i="105" a="1"/>
  <c r="Q31" i="105" s="1"/>
  <c r="Q25" i="105" a="1"/>
  <c r="Q25" i="105" s="1"/>
  <c r="P25" i="105" a="1"/>
  <c r="P25" i="105" s="1"/>
  <c r="O25" i="105" a="1"/>
  <c r="O25" i="105" s="1"/>
  <c r="N25" i="105" a="1"/>
  <c r="N25" i="105" s="1"/>
  <c r="P28" i="105" a="1"/>
  <c r="P28" i="105" s="1"/>
  <c r="O28" i="105" a="1"/>
  <c r="O28" i="105" s="1"/>
  <c r="N28" i="105" a="1"/>
  <c r="N28" i="105" s="1"/>
  <c r="Q28" i="105" a="1"/>
  <c r="Q28" i="105" s="1"/>
  <c r="Q34" i="105" a="1"/>
  <c r="Q34" i="105" s="1"/>
  <c r="P34" i="105" a="1"/>
  <c r="P34" i="105" s="1"/>
  <c r="O34" i="105" a="1"/>
  <c r="O34" i="105" s="1"/>
  <c r="N34" i="105" a="1"/>
  <c r="N34" i="105" s="1"/>
  <c r="N38" i="105" a="1"/>
  <c r="N38" i="105" s="1"/>
  <c r="E41" i="101"/>
  <c r="O38" i="105" a="1"/>
  <c r="O38" i="105" s="1"/>
  <c r="P38" i="105" a="1"/>
  <c r="P38" i="105" s="1"/>
  <c r="P33" i="105" a="1"/>
  <c r="P33" i="105" s="1"/>
  <c r="E51" i="105" s="1"/>
  <c r="O33" i="105" a="1"/>
  <c r="O33" i="105" s="1"/>
  <c r="E50" i="105" s="1"/>
  <c r="N33" i="105" a="1"/>
  <c r="N33" i="105" s="1"/>
  <c r="E49" i="105" s="1"/>
  <c r="Q33" i="105" a="1"/>
  <c r="Q33" i="105" s="1"/>
  <c r="E52" i="105" s="1"/>
  <c r="N27" i="105" a="1"/>
  <c r="N27" i="105" s="1"/>
  <c r="Q27" i="105" a="1"/>
  <c r="Q27" i="105" s="1"/>
  <c r="P27" i="105" a="1"/>
  <c r="P27" i="105" s="1"/>
  <c r="O27" i="105" a="1"/>
  <c r="O27" i="105" s="1"/>
  <c r="O35" i="105" a="1"/>
  <c r="O35" i="105" s="1"/>
  <c r="Q39" i="105" a="1"/>
  <c r="Q39" i="105" s="1"/>
  <c r="P39" i="105" a="1"/>
  <c r="P39" i="105" s="1"/>
  <c r="O39" i="105" a="1"/>
  <c r="O39" i="105" s="1"/>
  <c r="N39" i="105" a="1"/>
  <c r="N39" i="105" s="1"/>
  <c r="N36" i="105" a="1"/>
  <c r="N36" i="105" s="1"/>
  <c r="Q36" i="105" a="1"/>
  <c r="Q36" i="105" s="1"/>
  <c r="P36" i="105" a="1"/>
  <c r="P36" i="105" s="1"/>
  <c r="O36" i="105" a="1"/>
  <c r="O36" i="105" s="1"/>
  <c r="P29" i="105" a="1"/>
  <c r="P29" i="105" s="1"/>
  <c r="O29" i="105" a="1"/>
  <c r="O29" i="105" s="1"/>
  <c r="N29" i="105" a="1"/>
  <c r="N29" i="105" s="1"/>
  <c r="O32" i="105" a="1"/>
  <c r="O32" i="105" s="1"/>
  <c r="N32" i="105" a="1"/>
  <c r="N32" i="105" s="1"/>
  <c r="P32" i="105" a="1"/>
  <c r="P32" i="105" s="1"/>
  <c r="O37" i="105" a="1"/>
  <c r="O37" i="105" s="1"/>
  <c r="N37" i="105" a="1"/>
  <c r="N37" i="105" s="1"/>
  <c r="Q37" i="105" a="1"/>
  <c r="Q37" i="105" s="1"/>
  <c r="P37" i="105" a="1"/>
  <c r="P37" i="105" s="1"/>
  <c r="Q29" i="105" a="1"/>
  <c r="Q29" i="105" s="1"/>
  <c r="F75" i="99" a="1"/>
  <c r="F75" i="99" s="1"/>
  <c r="F74" i="99" a="1"/>
  <c r="F74" i="99" s="1"/>
  <c r="F73" i="99" a="1"/>
  <c r="F73" i="99" s="1"/>
  <c r="F68" i="99" a="1"/>
  <c r="F68" i="99" s="1"/>
  <c r="G34" i="95" a="1"/>
  <c r="G34" i="95" s="1"/>
  <c r="E73" i="95" s="1" a="1"/>
  <c r="E73" i="95" s="1"/>
  <c r="G24" i="95" a="1"/>
  <c r="G24" i="95" s="1"/>
  <c r="E63" i="95" s="1" a="1"/>
  <c r="E63" i="95" s="1"/>
  <c r="F69" i="99" a="1"/>
  <c r="F69" i="99" s="1"/>
  <c r="F70" i="99" a="1"/>
  <c r="F70" i="99" s="1"/>
  <c r="F71" i="99" a="1"/>
  <c r="F71" i="99" s="1"/>
  <c r="E50" i="101"/>
  <c r="G33" i="95" a="1"/>
  <c r="G33" i="95" s="1"/>
  <c r="E72" i="95" s="1" a="1"/>
  <c r="E72" i="95" s="1"/>
  <c r="E31" i="97"/>
  <c r="G31" i="95" a="1"/>
  <c r="G31" i="95" s="1"/>
  <c r="E70" i="95" s="1" a="1"/>
  <c r="E70" i="95" s="1"/>
  <c r="G35" i="95" a="1"/>
  <c r="G35" i="95" s="1"/>
  <c r="E74" i="95" s="1" a="1"/>
  <c r="E74" i="95" s="1"/>
  <c r="G32" i="95" a="1"/>
  <c r="G32" i="95" s="1"/>
  <c r="E71" i="95" s="1" a="1"/>
  <c r="E71" i="95" s="1"/>
  <c r="G25" i="95" a="1"/>
  <c r="G25" i="95" s="1"/>
  <c r="E64" i="95" s="1" a="1"/>
  <c r="E64" i="95" s="1"/>
  <c r="G26" i="95" a="1"/>
  <c r="G26" i="95" s="1"/>
  <c r="E65" i="95" s="1" a="1"/>
  <c r="E65" i="95" s="1"/>
  <c r="G28" i="95" a="1"/>
  <c r="G28" i="95" s="1"/>
  <c r="E67" i="95" s="1" a="1"/>
  <c r="E67" i="95" s="1"/>
  <c r="G20" i="95" a="1"/>
  <c r="G20" i="95" s="1"/>
  <c r="E59" i="95" s="1" a="1"/>
  <c r="E59" i="95" s="1"/>
  <c r="G27" i="95" a="1"/>
  <c r="G27" i="95" s="1"/>
  <c r="E66" i="95" s="1" a="1"/>
  <c r="E66" i="95" s="1"/>
  <c r="N108" i="94"/>
  <c r="N182" i="92"/>
  <c r="P184" i="92" s="1"/>
  <c r="N187" i="92" s="1" a="1"/>
  <c r="N187" i="92" s="1"/>
  <c r="E182" i="92"/>
  <c r="G184" i="92" s="1"/>
  <c r="E187" i="92" s="1" a="1"/>
  <c r="E187" i="92" s="1"/>
  <c r="I19" i="88"/>
  <c r="K40" i="87"/>
  <c r="V40" i="87"/>
  <c r="D79" i="83" a="1"/>
  <c r="D79" i="83" s="1"/>
  <c r="P146" i="84" a="1"/>
  <c r="P146" i="84" s="1"/>
  <c r="P176" i="84" s="1" a="1"/>
  <c r="P176" i="84" s="1"/>
  <c r="K19" i="85"/>
  <c r="V19" i="85"/>
  <c r="F206" i="83" a="1"/>
  <c r="F206" i="83" s="1"/>
  <c r="Q176" i="84" a="1"/>
  <c r="Q176" i="84" s="1"/>
  <c r="R19" i="88" s="1"/>
  <c r="T31" i="88" s="1" a="1"/>
  <c r="T31" i="88" s="1"/>
  <c r="Q205" i="83" a="1"/>
  <c r="Q205" i="83" s="1"/>
  <c r="R237" i="83" a="1"/>
  <c r="R237" i="83" s="1"/>
  <c r="R290" i="83" s="1" a="1"/>
  <c r="R290" i="83" s="1"/>
  <c r="S237" i="83" a="1"/>
  <c r="S237" i="83" s="1"/>
  <c r="S290" i="83" s="1" a="1"/>
  <c r="S290" i="83" s="1"/>
  <c r="T237" i="83" a="1"/>
  <c r="T237" i="83" s="1"/>
  <c r="T290" i="83" s="1" a="1"/>
  <c r="T290" i="83" s="1"/>
  <c r="U237" i="83" a="1"/>
  <c r="U237" i="83" s="1"/>
  <c r="U290" i="83" s="1" a="1"/>
  <c r="U290" i="83" s="1"/>
  <c r="F205" i="83" a="1"/>
  <c r="F205" i="83" s="1"/>
  <c r="Q206" i="83" a="1"/>
  <c r="Q206" i="83" s="1"/>
  <c r="Q177" i="83" a="1"/>
  <c r="Q177" i="83" s="1"/>
  <c r="E67" i="13"/>
  <c r="F133" i="83" l="1" a="1"/>
  <c r="F133" i="83" s="1"/>
  <c r="F50" i="84"/>
  <c r="H133" i="83" a="1"/>
  <c r="H133" i="83" s="1"/>
  <c r="H50" i="84"/>
  <c r="E133" i="83" a="1"/>
  <c r="E133" i="83" s="1"/>
  <c r="E50" i="84"/>
  <c r="G133" i="83" a="1"/>
  <c r="G133" i="83" s="1"/>
  <c r="G50" i="84"/>
  <c r="T33" i="112"/>
  <c r="O40" i="112" s="1" a="1"/>
  <c r="O40" i="112" s="1"/>
  <c r="Q42" i="112" s="1"/>
  <c r="O45" i="112" s="1" a="1"/>
  <c r="O45" i="112" s="1"/>
  <c r="O25" i="113"/>
  <c r="S25" i="113" s="1" a="1"/>
  <c r="S25" i="113" s="1"/>
  <c r="N46" i="113" s="1"/>
  <c r="O46" i="113" s="1" a="1"/>
  <c r="O46" i="113" s="1"/>
  <c r="O48" i="113" s="1"/>
  <c r="Q50" i="113" s="1"/>
  <c r="O53" i="113" s="1" a="1"/>
  <c r="O53" i="113" s="1"/>
  <c r="J33" i="112"/>
  <c r="E40" i="112" s="1" a="1"/>
  <c r="E40" i="112" s="1"/>
  <c r="G42" i="112" s="1"/>
  <c r="E45" i="112" s="1" a="1"/>
  <c r="E45" i="112" s="1"/>
  <c r="E25" i="113"/>
  <c r="I25" i="113" s="1" a="1"/>
  <c r="I25" i="113" s="1"/>
  <c r="D46" i="113" s="1"/>
  <c r="E46" i="113" s="1" a="1"/>
  <c r="E46" i="113" s="1"/>
  <c r="E48" i="113" s="1"/>
  <c r="G50" i="113" s="1"/>
  <c r="E53" i="113" s="1" a="1"/>
  <c r="E53" i="113" s="1"/>
  <c r="E20" i="98"/>
  <c r="H20" i="98" s="1" a="1"/>
  <c r="H20" i="98" s="1"/>
  <c r="E60" i="98" s="1"/>
  <c r="E24" i="99"/>
  <c r="F24" i="99" s="1" a="1"/>
  <c r="F24" i="99" s="1"/>
  <c r="J321" i="121" a="1"/>
  <c r="J321" i="121" s="1"/>
  <c r="J323" i="121" a="1"/>
  <c r="J323" i="121" s="1"/>
  <c r="E236" i="121"/>
  <c r="J245" i="121" a="1"/>
  <c r="J245" i="121" s="1"/>
  <c r="J244" i="121" a="1"/>
  <c r="J244" i="121" s="1"/>
  <c r="J243" i="121" a="1"/>
  <c r="J243" i="121" s="1"/>
  <c r="J242" i="121" a="1"/>
  <c r="J242" i="121" s="1"/>
  <c r="J241" i="121" a="1"/>
  <c r="J241" i="121" s="1"/>
  <c r="J240" i="121" a="1"/>
  <c r="J240" i="121" s="1"/>
  <c r="J239" i="121" a="1"/>
  <c r="J239" i="121" s="1"/>
  <c r="J238" i="121" a="1"/>
  <c r="J238" i="121" s="1"/>
  <c r="J237" i="121" a="1"/>
  <c r="J237" i="121" s="1"/>
  <c r="E28" i="98"/>
  <c r="H28" i="98" s="1" a="1"/>
  <c r="H28" i="98" s="1"/>
  <c r="E68" i="98" s="1"/>
  <c r="E32" i="99"/>
  <c r="F32" i="99" s="1" a="1"/>
  <c r="F32" i="99" s="1"/>
  <c r="E27" i="99"/>
  <c r="F27" i="99" s="1" a="1"/>
  <c r="F27" i="99" s="1"/>
  <c r="E23" i="98"/>
  <c r="H23" i="98" s="1" a="1"/>
  <c r="H23" i="98" s="1"/>
  <c r="E63" i="98" s="1"/>
  <c r="E37" i="99"/>
  <c r="F37" i="99" s="1" a="1"/>
  <c r="F37" i="99" s="1"/>
  <c r="E33" i="98"/>
  <c r="H33" i="98" s="1" a="1"/>
  <c r="H33" i="98" s="1"/>
  <c r="E73" i="98" s="1"/>
  <c r="E28" i="99"/>
  <c r="F28" i="99" s="1" a="1"/>
  <c r="F28" i="99" s="1"/>
  <c r="E24" i="98"/>
  <c r="H24" i="98" s="1" a="1"/>
  <c r="H24" i="98" s="1"/>
  <c r="E64" i="98" s="1"/>
  <c r="E41" i="99"/>
  <c r="F41" i="99" s="1" a="1"/>
  <c r="F41" i="99" s="1"/>
  <c r="E37" i="98"/>
  <c r="H37" i="98" s="1" a="1"/>
  <c r="H37" i="98" s="1"/>
  <c r="E77" i="98" s="1"/>
  <c r="N34" i="94"/>
  <c r="Q11" i="94"/>
  <c r="N33" i="94" s="1"/>
  <c r="E26" i="99"/>
  <c r="F26" i="99" s="1" a="1"/>
  <c r="F26" i="99" s="1"/>
  <c r="E22" i="98"/>
  <c r="H22" i="98" s="1" a="1"/>
  <c r="H22" i="98" s="1"/>
  <c r="E62" i="98" s="1"/>
  <c r="G236" i="121" a="1"/>
  <c r="G236" i="121" s="1"/>
  <c r="E263" i="121" s="1"/>
  <c r="E25" i="99"/>
  <c r="F25" i="99" s="1" a="1"/>
  <c r="F25" i="99" s="1"/>
  <c r="E21" i="98"/>
  <c r="H21" i="98" s="1" a="1"/>
  <c r="H21" i="98" s="1"/>
  <c r="E61" i="98" s="1"/>
  <c r="E29" i="98"/>
  <c r="H29" i="98" s="1" a="1"/>
  <c r="H29" i="98" s="1"/>
  <c r="E69" i="98" s="1"/>
  <c r="E33" i="99"/>
  <c r="F33" i="99" s="1" a="1"/>
  <c r="F33" i="99" s="1"/>
  <c r="E31" i="98"/>
  <c r="H31" i="98" s="1" a="1"/>
  <c r="H31" i="98" s="1"/>
  <c r="E71" i="98" s="1"/>
  <c r="E35" i="99"/>
  <c r="F35" i="99" s="1" a="1"/>
  <c r="F35" i="99" s="1"/>
  <c r="E27" i="98"/>
  <c r="H27" i="98" s="1" a="1"/>
  <c r="H27" i="98" s="1"/>
  <c r="E67" i="98" s="1"/>
  <c r="E31" i="99"/>
  <c r="F31" i="99" s="1" a="1"/>
  <c r="F31" i="99" s="1"/>
  <c r="E40" i="99"/>
  <c r="F40" i="99" s="1" a="1"/>
  <c r="F40" i="99" s="1"/>
  <c r="E36" i="98"/>
  <c r="H36" i="98" s="1" a="1"/>
  <c r="H36" i="98" s="1"/>
  <c r="E76" i="98" s="1"/>
  <c r="E38" i="99"/>
  <c r="F38" i="99" s="1" a="1"/>
  <c r="F38" i="99" s="1"/>
  <c r="E34" i="98"/>
  <c r="H34" i="98" s="1" a="1"/>
  <c r="H34" i="98" s="1"/>
  <c r="E74" i="98" s="1"/>
  <c r="I324" i="121" a="1"/>
  <c r="I324" i="121" s="1"/>
  <c r="E30" i="98"/>
  <c r="H30" i="98" s="1" a="1"/>
  <c r="H30" i="98" s="1"/>
  <c r="E70" i="98" s="1"/>
  <c r="E34" i="99"/>
  <c r="F34" i="99" s="1" a="1"/>
  <c r="F34" i="99" s="1"/>
  <c r="J324" i="121" a="1"/>
  <c r="J324" i="121" s="1"/>
  <c r="K240" i="121" a="1"/>
  <c r="K240" i="121" s="1"/>
  <c r="I325" i="121" a="1"/>
  <c r="I325" i="121" s="1"/>
  <c r="H245" i="121" a="1"/>
  <c r="H245" i="121" s="1"/>
  <c r="H240" i="121" a="1"/>
  <c r="H240" i="121" s="1"/>
  <c r="E32" i="98"/>
  <c r="H32" i="98" s="1" a="1"/>
  <c r="H32" i="98" s="1"/>
  <c r="E72" i="98" s="1"/>
  <c r="E36" i="99"/>
  <c r="F36" i="99" s="1" a="1"/>
  <c r="F36" i="99" s="1"/>
  <c r="E19" i="98"/>
  <c r="H19" i="98" s="1" a="1"/>
  <c r="H19" i="98" s="1"/>
  <c r="E59" i="98" s="1"/>
  <c r="E23" i="99"/>
  <c r="F23" i="99" s="1" a="1"/>
  <c r="F23" i="99" s="1"/>
  <c r="J329" i="121" a="1"/>
  <c r="J329" i="121" s="1"/>
  <c r="E29" i="99"/>
  <c r="F29" i="99" s="1" a="1"/>
  <c r="F29" i="99" s="1"/>
  <c r="E25" i="98"/>
  <c r="H25" i="98" s="1" a="1"/>
  <c r="H25" i="98" s="1"/>
  <c r="E65" i="98" s="1"/>
  <c r="H238" i="121" a="1"/>
  <c r="H238" i="121" s="1"/>
  <c r="I322" i="121" a="1"/>
  <c r="I322" i="121" s="1"/>
  <c r="H244" i="121" a="1"/>
  <c r="H244" i="121" s="1"/>
  <c r="K237" i="121" a="1"/>
  <c r="K237" i="121" s="1"/>
  <c r="E103" i="98"/>
  <c r="F103" i="98" s="1" a="1"/>
  <c r="F103" i="98" s="1"/>
  <c r="E135" i="98" s="1"/>
  <c r="E66" i="99"/>
  <c r="F66" i="99" s="1" a="1"/>
  <c r="F66" i="99" s="1"/>
  <c r="E67" i="99"/>
  <c r="F67" i="99" s="1" a="1"/>
  <c r="F67" i="99" s="1"/>
  <c r="E104" i="98"/>
  <c r="F104" i="98" s="1" a="1"/>
  <c r="F104" i="98" s="1"/>
  <c r="E136" i="98" s="1"/>
  <c r="E39" i="99"/>
  <c r="F39" i="99" s="1" a="1"/>
  <c r="F39" i="99" s="1"/>
  <c r="E35" i="98"/>
  <c r="H35" i="98" s="1" a="1"/>
  <c r="H35" i="98" s="1"/>
  <c r="E75" i="98" s="1"/>
  <c r="E30" i="99"/>
  <c r="F30" i="99" s="1" a="1"/>
  <c r="F30" i="99" s="1"/>
  <c r="E26" i="98"/>
  <c r="H26" i="98" s="1" a="1"/>
  <c r="H26" i="98" s="1"/>
  <c r="E66" i="98" s="1"/>
  <c r="E102" i="98"/>
  <c r="F102" i="98" s="1" a="1"/>
  <c r="F102" i="98" s="1"/>
  <c r="E134" i="98" s="1"/>
  <c r="E65" i="99"/>
  <c r="F65" i="99" s="1" a="1"/>
  <c r="F65" i="99" s="1"/>
  <c r="E77" i="99" s="1"/>
  <c r="J90" i="99" s="1"/>
  <c r="E32" i="96"/>
  <c r="K44" i="96" s="1"/>
  <c r="E50" i="96" s="1" a="1"/>
  <c r="E50" i="96" s="1"/>
  <c r="G52" i="96" s="1"/>
  <c r="E55" i="96" s="1" a="1"/>
  <c r="E55" i="96" s="1"/>
  <c r="D114" i="83" a="1"/>
  <c r="D114" i="83" s="1"/>
  <c r="D60" i="84"/>
  <c r="O133" i="83" a="1"/>
  <c r="O133" i="83" s="1"/>
  <c r="N50" i="84"/>
  <c r="R51" i="88" a="1"/>
  <c r="R51" i="88" s="1"/>
  <c r="R23" i="90"/>
  <c r="R28" i="90" s="1" a="1"/>
  <c r="R28" i="90" s="1"/>
  <c r="R19" i="89"/>
  <c r="R24" i="89" s="1" a="1"/>
  <c r="R24" i="89" s="1"/>
  <c r="T51" i="88" a="1"/>
  <c r="T51" i="88" s="1"/>
  <c r="T23" i="90"/>
  <c r="T28" i="90" s="1" a="1"/>
  <c r="T28" i="90" s="1"/>
  <c r="T19" i="89"/>
  <c r="T24" i="89" s="1" a="1"/>
  <c r="T24" i="89" s="1"/>
  <c r="E657" i="121"/>
  <c r="E475" i="121"/>
  <c r="I124" i="121" a="1"/>
  <c r="I124" i="121" s="1"/>
  <c r="G123" i="121" a="1"/>
  <c r="G123" i="121" s="1"/>
  <c r="E35" i="121"/>
  <c r="E94" i="121" s="1"/>
  <c r="I129" i="121" a="1"/>
  <c r="I129" i="121" s="1"/>
  <c r="G128" i="121" a="1"/>
  <c r="G128" i="121" s="1"/>
  <c r="E456" i="121"/>
  <c r="E457" i="121"/>
  <c r="E393" i="121"/>
  <c r="E298" i="121"/>
  <c r="E394" i="121"/>
  <c r="E474" i="121"/>
  <c r="E299" i="121"/>
  <c r="E34" i="121"/>
  <c r="E93" i="121" s="1"/>
  <c r="G126" i="121" a="1"/>
  <c r="G126" i="121" s="1"/>
  <c r="I126" i="121" a="1"/>
  <c r="I126" i="121" s="1"/>
  <c r="I320" i="121" a="1"/>
  <c r="I320" i="121" s="1"/>
  <c r="J320" i="121" a="1"/>
  <c r="J320" i="121" s="1"/>
  <c r="E332" i="121" s="1"/>
  <c r="I185" i="109"/>
  <c r="K185" i="109" s="1" a="1"/>
  <c r="K185" i="109" s="1"/>
  <c r="I144" i="109"/>
  <c r="K144" i="109" s="1" a="1"/>
  <c r="K144" i="109" s="1"/>
  <c r="I157" i="109"/>
  <c r="K157" i="109" s="1" a="1"/>
  <c r="K157" i="109" s="1"/>
  <c r="I179" i="109"/>
  <c r="K179" i="109" s="1" a="1"/>
  <c r="K179" i="109" s="1"/>
  <c r="I116" i="109"/>
  <c r="K116" i="109" s="1" a="1"/>
  <c r="K116" i="109" s="1"/>
  <c r="I127" i="109"/>
  <c r="K127" i="109" s="1" a="1"/>
  <c r="K127" i="109" s="1"/>
  <c r="I168" i="109"/>
  <c r="K168" i="109" s="1" a="1"/>
  <c r="K168" i="109" s="1"/>
  <c r="I138" i="109"/>
  <c r="K138" i="109" s="1" a="1"/>
  <c r="K138" i="109" s="1"/>
  <c r="E50" i="106"/>
  <c r="E52" i="106"/>
  <c r="E43" i="106"/>
  <c r="E63" i="105"/>
  <c r="E44" i="106"/>
  <c r="E64" i="105"/>
  <c r="E62" i="105"/>
  <c r="E49" i="106"/>
  <c r="E45" i="106"/>
  <c r="E61" i="105"/>
  <c r="E51" i="106"/>
  <c r="E46" i="106"/>
  <c r="E45" i="105"/>
  <c r="E55" i="105"/>
  <c r="E46" i="105"/>
  <c r="E56" i="105"/>
  <c r="E57" i="105"/>
  <c r="E58" i="105"/>
  <c r="E43" i="105"/>
  <c r="E44" i="105"/>
  <c r="G19" i="95" a="1"/>
  <c r="G19" i="95" s="1"/>
  <c r="E58" i="95" s="1" a="1"/>
  <c r="E58" i="95" s="1"/>
  <c r="E78" i="95" s="1"/>
  <c r="R213" i="84" a="1"/>
  <c r="R213" i="84" s="1"/>
  <c r="N35" i="94"/>
  <c r="S92" i="94"/>
  <c r="O213" i="84" a="1"/>
  <c r="O213" i="84" s="1"/>
  <c r="P213" i="84" a="1"/>
  <c r="P213" i="84" s="1"/>
  <c r="S248" i="84" a="1"/>
  <c r="S248" i="84" s="1"/>
  <c r="S245" i="84" a="1"/>
  <c r="S245" i="84" s="1"/>
  <c r="S249" i="84" a="1"/>
  <c r="S249" i="84" s="1"/>
  <c r="S246" i="84" a="1"/>
  <c r="S246" i="84" s="1"/>
  <c r="S243" i="84" a="1"/>
  <c r="S243" i="84" s="1"/>
  <c r="S250" i="84" a="1"/>
  <c r="S250" i="84" s="1"/>
  <c r="S247" i="84" a="1"/>
  <c r="S247" i="84" s="1"/>
  <c r="S244" i="84" a="1"/>
  <c r="S244" i="84" s="1"/>
  <c r="Q250" i="84" a="1"/>
  <c r="Q250" i="84" s="1"/>
  <c r="Q247" i="84" a="1"/>
  <c r="Q247" i="84" s="1"/>
  <c r="Q244" i="84" a="1"/>
  <c r="Q244" i="84" s="1"/>
  <c r="Q248" i="84" a="1"/>
  <c r="Q248" i="84" s="1"/>
  <c r="Q245" i="84" a="1"/>
  <c r="Q245" i="84" s="1"/>
  <c r="Q249" i="84" a="1"/>
  <c r="Q249" i="84" s="1"/>
  <c r="Q246" i="84" a="1"/>
  <c r="Q246" i="84" s="1"/>
  <c r="Q243" i="84" a="1"/>
  <c r="Q243" i="84" s="1"/>
  <c r="G55" i="80"/>
  <c r="F47" i="80"/>
  <c r="D39" i="80"/>
  <c r="D32" i="80"/>
  <c r="F80" i="72"/>
  <c r="E80" i="72"/>
  <c r="F79" i="72"/>
  <c r="E79" i="72"/>
  <c r="D76" i="72" a="1"/>
  <c r="F78" i="72" s="1"/>
  <c r="D73" i="72"/>
  <c r="E69" i="72"/>
  <c r="E68" i="72"/>
  <c r="D65" i="72" a="1"/>
  <c r="E66" i="72" s="1"/>
  <c r="D62" i="72"/>
  <c r="F56" i="72"/>
  <c r="E56" i="72"/>
  <c r="F55" i="72"/>
  <c r="E55" i="72"/>
  <c r="D52" i="72" a="1"/>
  <c r="F54" i="72" s="1"/>
  <c r="D48" i="72" a="1"/>
  <c r="D48" i="72" s="1"/>
  <c r="D46" i="72"/>
  <c r="G40" i="72"/>
  <c r="D37" i="72"/>
  <c r="G126" i="84" l="1" a="1"/>
  <c r="G126" i="84" s="1"/>
  <c r="G65" i="84" a="1"/>
  <c r="G65" i="84" s="1"/>
  <c r="G103" i="84" s="1" a="1"/>
  <c r="G103" i="84" s="1"/>
  <c r="I238" i="83" a="1"/>
  <c r="I238" i="83" s="1"/>
  <c r="I291" i="83" s="1" a="1"/>
  <c r="I291" i="83" s="1"/>
  <c r="I237" i="83" a="1"/>
  <c r="I237" i="83" s="1"/>
  <c r="I290" i="83" s="1" a="1"/>
  <c r="I290" i="83" s="1"/>
  <c r="I241" i="83" a="1"/>
  <c r="I241" i="83" s="1"/>
  <c r="I294" i="83" s="1" a="1"/>
  <c r="I294" i="83" s="1"/>
  <c r="I244" i="83" a="1"/>
  <c r="I244" i="83" s="1"/>
  <c r="I297" i="83" s="1" a="1"/>
  <c r="I297" i="83" s="1"/>
  <c r="I245" i="83" a="1"/>
  <c r="I245" i="83" s="1"/>
  <c r="I298" i="83" s="1" a="1"/>
  <c r="I298" i="83" s="1"/>
  <c r="I243" i="83" a="1"/>
  <c r="I243" i="83" s="1"/>
  <c r="I296" i="83" s="1" a="1"/>
  <c r="I296" i="83" s="1"/>
  <c r="I240" i="83" a="1"/>
  <c r="I240" i="83" s="1"/>
  <c r="I293" i="83" s="1" a="1"/>
  <c r="I293" i="83" s="1"/>
  <c r="I242" i="83" a="1"/>
  <c r="I242" i="83" s="1"/>
  <c r="I295" i="83" s="1" a="1"/>
  <c r="I295" i="83" s="1"/>
  <c r="I239" i="83" a="1"/>
  <c r="I239" i="83" s="1"/>
  <c r="I292" i="83" s="1" a="1"/>
  <c r="I292" i="83" s="1"/>
  <c r="E65" i="84" a="1"/>
  <c r="E65" i="84" s="1"/>
  <c r="E103" i="84" s="1" a="1"/>
  <c r="E103" i="84" s="1"/>
  <c r="E126" i="84" a="1"/>
  <c r="E126" i="84" s="1"/>
  <c r="G241" i="83" a="1"/>
  <c r="G241" i="83" s="1"/>
  <c r="G294" i="83" s="1" a="1"/>
  <c r="G294" i="83" s="1"/>
  <c r="G242" i="83" a="1"/>
  <c r="G242" i="83" s="1"/>
  <c r="G295" i="83" s="1" a="1"/>
  <c r="G295" i="83" s="1"/>
  <c r="G239" i="83" a="1"/>
  <c r="G239" i="83" s="1"/>
  <c r="G292" i="83" s="1" a="1"/>
  <c r="G292" i="83" s="1"/>
  <c r="G237" i="83" a="1"/>
  <c r="G237" i="83" s="1"/>
  <c r="G290" i="83" s="1" a="1"/>
  <c r="G290" i="83" s="1"/>
  <c r="G238" i="83" a="1"/>
  <c r="G238" i="83" s="1"/>
  <c r="G291" i="83" s="1" a="1"/>
  <c r="G291" i="83" s="1"/>
  <c r="G240" i="83" a="1"/>
  <c r="G240" i="83" s="1"/>
  <c r="G293" i="83" s="1" a="1"/>
  <c r="G293" i="83" s="1"/>
  <c r="G244" i="83" a="1"/>
  <c r="G244" i="83" s="1"/>
  <c r="G297" i="83" s="1" a="1"/>
  <c r="G297" i="83" s="1"/>
  <c r="G243" i="83" a="1"/>
  <c r="G243" i="83" s="1"/>
  <c r="G296" i="83" s="1" a="1"/>
  <c r="G296" i="83" s="1"/>
  <c r="G245" i="83" a="1"/>
  <c r="G245" i="83" s="1"/>
  <c r="G298" i="83" s="1" a="1"/>
  <c r="G298" i="83" s="1"/>
  <c r="H126" i="84" a="1"/>
  <c r="H126" i="84" s="1"/>
  <c r="H65" i="84" a="1"/>
  <c r="H65" i="84" s="1"/>
  <c r="H103" i="84" s="1" a="1"/>
  <c r="H103" i="84" s="1"/>
  <c r="J244" i="83" a="1"/>
  <c r="J244" i="83" s="1"/>
  <c r="J297" i="83" s="1" a="1"/>
  <c r="J297" i="83" s="1"/>
  <c r="J238" i="83" a="1"/>
  <c r="J238" i="83" s="1"/>
  <c r="J291" i="83" s="1" a="1"/>
  <c r="J291" i="83" s="1"/>
  <c r="J240" i="83" a="1"/>
  <c r="J240" i="83" s="1"/>
  <c r="J293" i="83" s="1" a="1"/>
  <c r="J293" i="83" s="1"/>
  <c r="J237" i="83" a="1"/>
  <c r="J237" i="83" s="1"/>
  <c r="J290" i="83" s="1" a="1"/>
  <c r="J290" i="83" s="1"/>
  <c r="J241" i="83" a="1"/>
  <c r="J241" i="83" s="1"/>
  <c r="J294" i="83" s="1" a="1"/>
  <c r="J294" i="83" s="1"/>
  <c r="J239" i="83" a="1"/>
  <c r="J239" i="83" s="1"/>
  <c r="J292" i="83" s="1" a="1"/>
  <c r="J292" i="83" s="1"/>
  <c r="J245" i="83" a="1"/>
  <c r="J245" i="83" s="1"/>
  <c r="J298" i="83" s="1" a="1"/>
  <c r="J298" i="83" s="1"/>
  <c r="J243" i="83" a="1"/>
  <c r="J243" i="83" s="1"/>
  <c r="J296" i="83" s="1" a="1"/>
  <c r="J296" i="83" s="1"/>
  <c r="J242" i="83" a="1"/>
  <c r="J242" i="83" s="1"/>
  <c r="J295" i="83" s="1" a="1"/>
  <c r="J295" i="83" s="1"/>
  <c r="F65" i="84" a="1"/>
  <c r="F65" i="84" s="1"/>
  <c r="F103" i="84" s="1" a="1"/>
  <c r="F103" i="84" s="1"/>
  <c r="F126" i="84" a="1"/>
  <c r="F126" i="84" s="1"/>
  <c r="H237" i="83" a="1"/>
  <c r="H237" i="83" s="1"/>
  <c r="H290" i="83" s="1" a="1"/>
  <c r="H290" i="83" s="1"/>
  <c r="H244" i="83" a="1"/>
  <c r="H244" i="83" s="1"/>
  <c r="H297" i="83" s="1" a="1"/>
  <c r="H297" i="83" s="1"/>
  <c r="H242" i="83" a="1"/>
  <c r="H242" i="83" s="1"/>
  <c r="H295" i="83" s="1" a="1"/>
  <c r="H295" i="83" s="1"/>
  <c r="H241" i="83" a="1"/>
  <c r="H241" i="83" s="1"/>
  <c r="H294" i="83" s="1" a="1"/>
  <c r="H294" i="83" s="1"/>
  <c r="H245" i="83" a="1"/>
  <c r="H245" i="83" s="1"/>
  <c r="H298" i="83" s="1" a="1"/>
  <c r="H298" i="83" s="1"/>
  <c r="H240" i="83" a="1"/>
  <c r="H240" i="83" s="1"/>
  <c r="H293" i="83" s="1" a="1"/>
  <c r="H293" i="83" s="1"/>
  <c r="H238" i="83" a="1"/>
  <c r="H238" i="83" s="1"/>
  <c r="H291" i="83" s="1" a="1"/>
  <c r="H291" i="83" s="1"/>
  <c r="H243" i="83" a="1"/>
  <c r="H243" i="83" s="1"/>
  <c r="H296" i="83" s="1" a="1"/>
  <c r="H296" i="83" s="1"/>
  <c r="H239" i="83" a="1"/>
  <c r="H239" i="83" s="1"/>
  <c r="H292" i="83" s="1" a="1"/>
  <c r="H292" i="83" s="1"/>
  <c r="E43" i="99"/>
  <c r="J89" i="99" s="1"/>
  <c r="E331" i="121"/>
  <c r="J236" i="121" a="1"/>
  <c r="J236" i="121" s="1"/>
  <c r="E264" i="121" s="1"/>
  <c r="H236" i="121" a="1"/>
  <c r="H236" i="121" s="1"/>
  <c r="E266" i="121" s="1"/>
  <c r="K236" i="121" a="1"/>
  <c r="K236" i="121" s="1"/>
  <c r="E267" i="121" s="1"/>
  <c r="S285" i="84" a="1"/>
  <c r="S285" i="84" s="1"/>
  <c r="T26" i="85"/>
  <c r="T47" i="85" s="1" a="1"/>
  <c r="T47" i="85" s="1"/>
  <c r="T24" i="86"/>
  <c r="T30" i="86" s="1" a="1"/>
  <c r="T30" i="86" s="1"/>
  <c r="T47" i="87"/>
  <c r="Q280" i="84" a="1"/>
  <c r="Q280" i="84" s="1"/>
  <c r="R21" i="85"/>
  <c r="R42" i="85" s="1" a="1"/>
  <c r="R42" i="85" s="1"/>
  <c r="R42" i="87"/>
  <c r="Q283" i="84" a="1"/>
  <c r="Q283" i="84" s="1"/>
  <c r="R45" i="87"/>
  <c r="R24" i="85"/>
  <c r="R45" i="85" s="1" a="1"/>
  <c r="R45" i="85" s="1"/>
  <c r="Q279" i="84" a="1"/>
  <c r="Q279" i="84" s="1"/>
  <c r="R20" i="85"/>
  <c r="R41" i="85" s="1" a="1"/>
  <c r="R41" i="85" s="1"/>
  <c r="R41" i="87"/>
  <c r="Q282" i="84" a="1"/>
  <c r="Q282" i="84" s="1"/>
  <c r="R44" i="87"/>
  <c r="R23" i="85"/>
  <c r="R44" i="85" s="1" a="1"/>
  <c r="R44" i="85" s="1"/>
  <c r="S282" i="84" a="1"/>
  <c r="S282" i="84" s="1"/>
  <c r="T44" i="87"/>
  <c r="T23" i="85"/>
  <c r="T44" i="85" s="1" a="1"/>
  <c r="T44" i="85" s="1"/>
  <c r="N65" i="84" a="1"/>
  <c r="N65" i="84" s="1"/>
  <c r="N103" i="84" s="1" a="1"/>
  <c r="N103" i="84" s="1"/>
  <c r="N126" i="84" a="1"/>
  <c r="N126" i="84" s="1"/>
  <c r="Q237" i="83" a="1"/>
  <c r="Q237" i="83" s="1"/>
  <c r="Q290" i="83" s="1" a="1"/>
  <c r="Q290" i="83" s="1"/>
  <c r="S281" i="84" a="1"/>
  <c r="S281" i="84" s="1"/>
  <c r="T22" i="85"/>
  <c r="T43" i="85" s="1" a="1"/>
  <c r="T43" i="85" s="1"/>
  <c r="T23" i="86"/>
  <c r="T29" i="86" s="1" a="1"/>
  <c r="T29" i="86" s="1"/>
  <c r="T43" i="87"/>
  <c r="S284" i="84" a="1"/>
  <c r="S284" i="84" s="1"/>
  <c r="T46" i="87"/>
  <c r="T25" i="85"/>
  <c r="T46" i="85" s="1" a="1"/>
  <c r="T46" i="85" s="1"/>
  <c r="D133" i="83" a="1"/>
  <c r="D133" i="83" s="1"/>
  <c r="D50" i="84"/>
  <c r="S278" i="84" a="1"/>
  <c r="S278" i="84" s="1"/>
  <c r="T19" i="85"/>
  <c r="T40" i="85" s="1" a="1"/>
  <c r="T40" i="85" s="1"/>
  <c r="T40" i="87"/>
  <c r="S280" i="84" a="1"/>
  <c r="S280" i="84" s="1"/>
  <c r="T21" i="85"/>
  <c r="T42" i="85" s="1" a="1"/>
  <c r="T42" i="85" s="1"/>
  <c r="T42" i="87"/>
  <c r="Q278" i="84" a="1"/>
  <c r="Q278" i="84" s="1"/>
  <c r="R19" i="85"/>
  <c r="R40" i="85" s="1" a="1"/>
  <c r="R40" i="85" s="1"/>
  <c r="R40" i="87"/>
  <c r="Q281" i="84" a="1"/>
  <c r="Q281" i="84" s="1"/>
  <c r="R43" i="87"/>
  <c r="R22" i="85"/>
  <c r="R43" i="85" s="1" a="1"/>
  <c r="R43" i="85" s="1"/>
  <c r="R23" i="86"/>
  <c r="R29" i="86" s="1" a="1"/>
  <c r="R29" i="86" s="1"/>
  <c r="S283" i="84" a="1"/>
  <c r="S283" i="84" s="1"/>
  <c r="T45" i="87"/>
  <c r="T24" i="85"/>
  <c r="T45" i="85" s="1" a="1"/>
  <c r="T45" i="85" s="1"/>
  <c r="Q285" i="84" a="1"/>
  <c r="Q285" i="84" s="1"/>
  <c r="R24" i="86"/>
  <c r="R30" i="86" s="1" a="1"/>
  <c r="R30" i="86" s="1"/>
  <c r="R26" i="85"/>
  <c r="R47" i="85" s="1" a="1"/>
  <c r="R47" i="85" s="1"/>
  <c r="R47" i="87"/>
  <c r="S279" i="84" a="1"/>
  <c r="S279" i="84" s="1"/>
  <c r="T20" i="85"/>
  <c r="T41" i="85" s="1" a="1"/>
  <c r="T41" i="85" s="1"/>
  <c r="T41" i="87"/>
  <c r="Q284" i="84" a="1"/>
  <c r="Q284" i="84" s="1"/>
  <c r="R25" i="85"/>
  <c r="R46" i="85" s="1" a="1"/>
  <c r="R46" i="85" s="1"/>
  <c r="R46" i="87"/>
  <c r="R244" i="84" a="1"/>
  <c r="R244" i="84" s="1"/>
  <c r="Q19" i="88"/>
  <c r="S31" i="88" s="1" a="1"/>
  <c r="S31" i="88" s="1"/>
  <c r="T248" i="84" a="1"/>
  <c r="T248" i="84" s="1"/>
  <c r="S19" i="88"/>
  <c r="U31" i="88" s="1" a="1"/>
  <c r="U31" i="88" s="1"/>
  <c r="E132" i="121"/>
  <c r="E160" i="121" s="1"/>
  <c r="E131" i="121"/>
  <c r="E159" i="121" s="1"/>
  <c r="E151" i="109"/>
  <c r="E192" i="109"/>
  <c r="T245" i="84" a="1"/>
  <c r="T245" i="84" s="1"/>
  <c r="E56" i="106"/>
  <c r="E58" i="106"/>
  <c r="I531" i="121" s="1"/>
  <c r="E55" i="106"/>
  <c r="E94" i="99" a="1"/>
  <c r="E94" i="99" s="1"/>
  <c r="G96" i="99" s="1"/>
  <c r="E99" i="99" s="1" a="1"/>
  <c r="E99" i="99" s="1"/>
  <c r="E68" i="105"/>
  <c r="E69" i="105"/>
  <c r="E57" i="106"/>
  <c r="T244" i="84" a="1"/>
  <c r="T244" i="84" s="1"/>
  <c r="E67" i="105"/>
  <c r="E70" i="105"/>
  <c r="I530" i="121" s="1"/>
  <c r="T243" i="84" a="1"/>
  <c r="T243" i="84" s="1"/>
  <c r="T247" i="84" a="1"/>
  <c r="T247" i="84" s="1"/>
  <c r="T250" i="84" a="1"/>
  <c r="T250" i="84" s="1"/>
  <c r="T246" i="84" a="1"/>
  <c r="T246" i="84" s="1"/>
  <c r="T249" i="84" a="1"/>
  <c r="T249" i="84" s="1"/>
  <c r="R46" i="94"/>
  <c r="N49" i="94" s="1" a="1"/>
  <c r="N49" i="94" s="1"/>
  <c r="O105" i="94" s="1"/>
  <c r="R76" i="94"/>
  <c r="N79" i="94" s="1" a="1"/>
  <c r="N79" i="94" s="1"/>
  <c r="O107" i="94" s="1"/>
  <c r="R60" i="94"/>
  <c r="N63" i="94" s="1" a="1"/>
  <c r="N63" i="94" s="1"/>
  <c r="O106" i="94" s="1"/>
  <c r="R246" i="84" a="1"/>
  <c r="R246" i="84" s="1"/>
  <c r="R243" i="84" a="1"/>
  <c r="R243" i="84" s="1"/>
  <c r="R249" i="84" a="1"/>
  <c r="R249" i="84" s="1"/>
  <c r="R245" i="84" a="1"/>
  <c r="R245" i="84" s="1"/>
  <c r="R250" i="84" a="1"/>
  <c r="R250" i="84" s="1"/>
  <c r="R247" i="84" a="1"/>
  <c r="R247" i="84" s="1"/>
  <c r="R248" i="84" a="1"/>
  <c r="R248" i="84" s="1"/>
  <c r="E67" i="72"/>
  <c r="E54" i="72"/>
  <c r="E78" i="72"/>
  <c r="D52" i="72"/>
  <c r="D76" i="72"/>
  <c r="D65" i="72"/>
  <c r="E65" i="72" s="1"/>
  <c r="E146" i="84" l="1" a="1"/>
  <c r="E146" i="84" s="1"/>
  <c r="F146" i="84" a="1"/>
  <c r="F146" i="84" s="1"/>
  <c r="H146" i="84" a="1"/>
  <c r="H146" i="84" s="1"/>
  <c r="F176" i="84" a="1"/>
  <c r="F176" i="84" s="1"/>
  <c r="F213" i="84" a="1"/>
  <c r="F213" i="84" s="1"/>
  <c r="E176" i="84" a="1"/>
  <c r="E176" i="84" s="1"/>
  <c r="E213" i="84" a="1"/>
  <c r="E213" i="84" s="1"/>
  <c r="G146" i="84" a="1"/>
  <c r="G146" i="84" s="1"/>
  <c r="N146" i="84" a="1"/>
  <c r="N146" i="84" s="1"/>
  <c r="N213" i="84" s="1" a="1"/>
  <c r="N213" i="84" s="1"/>
  <c r="T281" i="84" a="1"/>
  <c r="T281" i="84" s="1"/>
  <c r="U22" i="85"/>
  <c r="U43" i="85" s="1" a="1"/>
  <c r="U43" i="85" s="1"/>
  <c r="U23" i="86"/>
  <c r="U29" i="86" s="1" a="1"/>
  <c r="U29" i="86" s="1"/>
  <c r="U43" i="87"/>
  <c r="T140" i="87" a="1"/>
  <c r="T140" i="87" s="1"/>
  <c r="T107" i="87" a="1"/>
  <c r="T107" i="87" s="1"/>
  <c r="T77" i="87" a="1"/>
  <c r="T77" i="87" s="1"/>
  <c r="R281" i="84" a="1"/>
  <c r="R281" i="84" s="1"/>
  <c r="S22" i="85"/>
  <c r="S43" i="85" s="1" a="1"/>
  <c r="S43" i="85" s="1"/>
  <c r="S23" i="86"/>
  <c r="S29" i="86" s="1" a="1"/>
  <c r="S29" i="86" s="1"/>
  <c r="S43" i="87"/>
  <c r="R106" i="87" a="1"/>
  <c r="R106" i="87" s="1"/>
  <c r="R76" i="87" a="1"/>
  <c r="R76" i="87" s="1"/>
  <c r="R139" i="87" a="1"/>
  <c r="R139" i="87" s="1"/>
  <c r="F240" i="83" a="1"/>
  <c r="F240" i="83" s="1"/>
  <c r="F293" i="83" s="1" a="1"/>
  <c r="F293" i="83" s="1"/>
  <c r="F244" i="83" a="1"/>
  <c r="F244" i="83" s="1"/>
  <c r="F297" i="83" s="1" a="1"/>
  <c r="F297" i="83" s="1"/>
  <c r="F243" i="83" a="1"/>
  <c r="F243" i="83" s="1"/>
  <c r="F296" i="83" s="1" a="1"/>
  <c r="F296" i="83" s="1"/>
  <c r="F245" i="83" a="1"/>
  <c r="F245" i="83" s="1"/>
  <c r="F298" i="83" s="1" a="1"/>
  <c r="F298" i="83" s="1"/>
  <c r="F237" i="83" a="1"/>
  <c r="F237" i="83" s="1"/>
  <c r="F290" i="83" s="1" a="1"/>
  <c r="F290" i="83" s="1"/>
  <c r="F242" i="83" a="1"/>
  <c r="F242" i="83" s="1"/>
  <c r="F295" i="83" s="1" a="1"/>
  <c r="F295" i="83" s="1"/>
  <c r="F239" i="83" a="1"/>
  <c r="F239" i="83" s="1"/>
  <c r="F292" i="83" s="1" a="1"/>
  <c r="F292" i="83" s="1"/>
  <c r="F238" i="83" a="1"/>
  <c r="F238" i="83" s="1"/>
  <c r="F291" i="83" s="1" a="1"/>
  <c r="F291" i="83" s="1"/>
  <c r="F241" i="83" a="1"/>
  <c r="F241" i="83" s="1"/>
  <c r="F294" i="83" s="1" a="1"/>
  <c r="F294" i="83" s="1"/>
  <c r="R141" i="87" a="1"/>
  <c r="R141" i="87" s="1"/>
  <c r="R78" i="87" a="1"/>
  <c r="R78" i="87" s="1"/>
  <c r="R108" i="87" a="1"/>
  <c r="R108" i="87" s="1"/>
  <c r="T280" i="84" a="1"/>
  <c r="T280" i="84" s="1"/>
  <c r="U21" i="85"/>
  <c r="U42" i="85" s="1" a="1"/>
  <c r="U42" i="85" s="1"/>
  <c r="U42" i="87"/>
  <c r="T279" i="84" a="1"/>
  <c r="T279" i="84" s="1"/>
  <c r="U20" i="85"/>
  <c r="U41" i="85" s="1" a="1"/>
  <c r="U41" i="85" s="1"/>
  <c r="U41" i="87"/>
  <c r="R50" i="86" a="1"/>
  <c r="R50" i="86" s="1"/>
  <c r="R59" i="87"/>
  <c r="R146" i="87" s="1" a="1"/>
  <c r="R146" i="87" s="1"/>
  <c r="R140" i="87" a="1"/>
  <c r="R140" i="87" s="1"/>
  <c r="R107" i="87" a="1"/>
  <c r="R107" i="87" s="1"/>
  <c r="R77" i="87" a="1"/>
  <c r="R77" i="87" s="1"/>
  <c r="T82" i="87" a="1"/>
  <c r="T82" i="87" s="1"/>
  <c r="T145" i="87" a="1"/>
  <c r="T145" i="87" s="1"/>
  <c r="T112" i="87" a="1"/>
  <c r="T112" i="87" s="1"/>
  <c r="T110" i="87" a="1"/>
  <c r="T110" i="87" s="1"/>
  <c r="T143" i="87" a="1"/>
  <c r="T143" i="87" s="1"/>
  <c r="T80" i="87" a="1"/>
  <c r="T80" i="87" s="1"/>
  <c r="T108" i="87" a="1"/>
  <c r="T108" i="87" s="1"/>
  <c r="T78" i="87" a="1"/>
  <c r="T78" i="87" s="1"/>
  <c r="T141" i="87" a="1"/>
  <c r="T141" i="87" s="1"/>
  <c r="T50" i="86" a="1"/>
  <c r="T50" i="86" s="1"/>
  <c r="T59" i="87"/>
  <c r="R283" i="84" a="1"/>
  <c r="R283" i="84" s="1"/>
  <c r="S45" i="87"/>
  <c r="S24" i="85"/>
  <c r="S45" i="85" s="1" a="1"/>
  <c r="S45" i="85" s="1"/>
  <c r="D126" i="84" a="1"/>
  <c r="D126" i="84" s="1"/>
  <c r="D65" i="84" a="1"/>
  <c r="D65" i="84" s="1"/>
  <c r="D103" i="84" s="1" a="1"/>
  <c r="D103" i="84" s="1"/>
  <c r="R282" i="84" a="1"/>
  <c r="R282" i="84" s="1"/>
  <c r="S44" i="87"/>
  <c r="S23" i="85"/>
  <c r="S44" i="85" s="1" a="1"/>
  <c r="S44" i="85" s="1"/>
  <c r="R285" i="84" a="1"/>
  <c r="R285" i="84" s="1"/>
  <c r="S26" i="85"/>
  <c r="S47" i="85" s="1" a="1"/>
  <c r="S47" i="85" s="1"/>
  <c r="S24" i="86"/>
  <c r="S30" i="86" s="1" a="1"/>
  <c r="S30" i="86" s="1"/>
  <c r="S47" i="87"/>
  <c r="R280" i="84" a="1"/>
  <c r="R280" i="84" s="1"/>
  <c r="S21" i="85"/>
  <c r="S42" i="85" s="1" a="1"/>
  <c r="S42" i="85" s="1"/>
  <c r="S42" i="87"/>
  <c r="T283" i="84" a="1"/>
  <c r="T283" i="84" s="1"/>
  <c r="U45" i="87"/>
  <c r="U24" i="85"/>
  <c r="U45" i="85" s="1" a="1"/>
  <c r="U45" i="85" s="1"/>
  <c r="R284" i="84" a="1"/>
  <c r="R284" i="84" s="1"/>
  <c r="S46" i="87"/>
  <c r="S25" i="85"/>
  <c r="S46" i="85" s="1" a="1"/>
  <c r="S46" i="85" s="1"/>
  <c r="T284" i="84" a="1"/>
  <c r="T284" i="84" s="1"/>
  <c r="U46" i="87"/>
  <c r="U25" i="85"/>
  <c r="U46" i="85" s="1" a="1"/>
  <c r="U46" i="85" s="1"/>
  <c r="T144" i="87" a="1"/>
  <c r="T144" i="87" s="1"/>
  <c r="T111" i="87" a="1"/>
  <c r="T111" i="87" s="1"/>
  <c r="T81" i="87" a="1"/>
  <c r="T81" i="87" s="1"/>
  <c r="T55" i="87"/>
  <c r="T49" i="86" a="1"/>
  <c r="T49" i="86" s="1"/>
  <c r="R279" i="84" a="1"/>
  <c r="R279" i="84" s="1"/>
  <c r="S20" i="85"/>
  <c r="S41" i="85" s="1" a="1"/>
  <c r="S41" i="85" s="1"/>
  <c r="S41" i="87"/>
  <c r="R278" i="84" a="1"/>
  <c r="R278" i="84" s="1"/>
  <c r="S19" i="85"/>
  <c r="S40" i="85" s="1" a="1"/>
  <c r="S40" i="85" s="1"/>
  <c r="S40" i="87"/>
  <c r="T285" i="84" a="1"/>
  <c r="T285" i="84" s="1"/>
  <c r="U26" i="85"/>
  <c r="U47" i="85" s="1" a="1"/>
  <c r="U47" i="85" s="1"/>
  <c r="U47" i="87"/>
  <c r="U24" i="86"/>
  <c r="U30" i="86" s="1" a="1"/>
  <c r="U30" i="86" s="1"/>
  <c r="R145" i="87" a="1"/>
  <c r="R145" i="87" s="1"/>
  <c r="R112" i="87" a="1"/>
  <c r="R112" i="87" s="1"/>
  <c r="R82" i="87" a="1"/>
  <c r="R82" i="87" s="1"/>
  <c r="R55" i="87"/>
  <c r="R49" i="86" a="1"/>
  <c r="R49" i="86" s="1"/>
  <c r="T106" i="87" a="1"/>
  <c r="T106" i="87" s="1"/>
  <c r="T139" i="87" a="1"/>
  <c r="T139" i="87" s="1"/>
  <c r="T76" i="87" a="1"/>
  <c r="T76" i="87" s="1"/>
  <c r="P300" i="83"/>
  <c r="R111" i="87" a="1"/>
  <c r="R111" i="87" s="1"/>
  <c r="R81" i="87" a="1"/>
  <c r="R81" i="87" s="1"/>
  <c r="R144" i="87" a="1"/>
  <c r="R144" i="87" s="1"/>
  <c r="T282" i="84" a="1"/>
  <c r="T282" i="84" s="1"/>
  <c r="U44" i="87"/>
  <c r="U23" i="85"/>
  <c r="U44" i="85" s="1" a="1"/>
  <c r="U44" i="85" s="1"/>
  <c r="T278" i="84" a="1"/>
  <c r="T278" i="84" s="1"/>
  <c r="U19" i="85"/>
  <c r="U40" i="85" s="1" a="1"/>
  <c r="U40" i="85" s="1"/>
  <c r="U40" i="87"/>
  <c r="R143" i="87" a="1"/>
  <c r="R143" i="87" s="1"/>
  <c r="R80" i="87" a="1"/>
  <c r="R80" i="87" s="1"/>
  <c r="R110" i="87" a="1"/>
  <c r="R110" i="87" s="1"/>
  <c r="S51" i="88" a="1"/>
  <c r="S51" i="88" s="1"/>
  <c r="S23" i="90"/>
  <c r="S28" i="90" s="1" a="1"/>
  <c r="S28" i="90" s="1"/>
  <c r="S19" i="89"/>
  <c r="S24" i="89" s="1" a="1"/>
  <c r="S24" i="89" s="1"/>
  <c r="U51" i="88" a="1"/>
  <c r="U51" i="88" s="1"/>
  <c r="U23" i="90"/>
  <c r="U28" i="90" s="1" a="1"/>
  <c r="U28" i="90" s="1"/>
  <c r="U19" i="89"/>
  <c r="U24" i="89" s="1" a="1"/>
  <c r="U24" i="89" s="1"/>
  <c r="E533" i="121" a="1"/>
  <c r="E533" i="121" s="1"/>
  <c r="E70" i="72"/>
  <c r="F52" i="72"/>
  <c r="E52" i="72"/>
  <c r="E76" i="72"/>
  <c r="F76" i="72"/>
  <c r="N176" i="84" l="1" a="1"/>
  <c r="N176" i="84" s="1"/>
  <c r="D146" i="84" a="1"/>
  <c r="D146" i="84" s="1"/>
  <c r="G213" i="84" a="1"/>
  <c r="G213" i="84" s="1"/>
  <c r="G176" i="84" a="1"/>
  <c r="G176" i="84" s="1"/>
  <c r="E19" i="88"/>
  <c r="G31" i="88" s="1" a="1"/>
  <c r="G31" i="88" s="1"/>
  <c r="G248" i="84" a="1"/>
  <c r="G248" i="84" s="1"/>
  <c r="G246" i="84" a="1"/>
  <c r="G246" i="84" s="1"/>
  <c r="G244" i="84" a="1"/>
  <c r="G244" i="84" s="1"/>
  <c r="G249" i="84" a="1"/>
  <c r="G249" i="84" s="1"/>
  <c r="G247" i="84" a="1"/>
  <c r="G247" i="84" s="1"/>
  <c r="G245" i="84" a="1"/>
  <c r="G245" i="84" s="1"/>
  <c r="G250" i="84" a="1"/>
  <c r="G250" i="84" s="1"/>
  <c r="G243" i="84" a="1"/>
  <c r="G243" i="84" s="1"/>
  <c r="H250" i="84" a="1"/>
  <c r="H250" i="84" s="1"/>
  <c r="H243" i="84" a="1"/>
  <c r="H243" i="84" s="1"/>
  <c r="H249" i="84" a="1"/>
  <c r="H249" i="84" s="1"/>
  <c r="H245" i="84" a="1"/>
  <c r="H245" i="84" s="1"/>
  <c r="H246" i="84" a="1"/>
  <c r="H246" i="84" s="1"/>
  <c r="H244" i="84" a="1"/>
  <c r="H244" i="84" s="1"/>
  <c r="F19" i="88"/>
  <c r="H31" i="88" s="1" a="1"/>
  <c r="H31" i="88" s="1"/>
  <c r="H247" i="84" a="1"/>
  <c r="H247" i="84" s="1"/>
  <c r="H248" i="84" a="1"/>
  <c r="H248" i="84" s="1"/>
  <c r="H176" i="84" a="1"/>
  <c r="H176" i="84" s="1"/>
  <c r="H213" i="84" a="1"/>
  <c r="H213" i="84" s="1"/>
  <c r="R113" i="87" a="1"/>
  <c r="R113" i="87" s="1"/>
  <c r="U50" i="86" a="1"/>
  <c r="U50" i="86" s="1"/>
  <c r="U59" i="87"/>
  <c r="U113" i="87" s="1" a="1"/>
  <c r="U113" i="87" s="1"/>
  <c r="S49" i="86" a="1"/>
  <c r="S49" i="86" s="1"/>
  <c r="S55" i="87"/>
  <c r="S109" i="87" s="1" a="1"/>
  <c r="S109" i="87" s="1"/>
  <c r="U139" i="87" a="1"/>
  <c r="U139" i="87" s="1"/>
  <c r="U76" i="87" a="1"/>
  <c r="U76" i="87" s="1"/>
  <c r="U106" i="87" a="1"/>
  <c r="U106" i="87" s="1"/>
  <c r="P246" i="84" a="1"/>
  <c r="P246" i="84" s="1"/>
  <c r="P250" i="84" a="1"/>
  <c r="P250" i="84" s="1"/>
  <c r="P249" i="84" a="1"/>
  <c r="P249" i="84" s="1"/>
  <c r="O19" i="88"/>
  <c r="Q31" i="88" s="1" a="1"/>
  <c r="Q31" i="88" s="1"/>
  <c r="P243" i="84" a="1"/>
  <c r="P243" i="84" s="1"/>
  <c r="P245" i="84" a="1"/>
  <c r="P245" i="84" s="1"/>
  <c r="P248" i="84" a="1"/>
  <c r="P248" i="84" s="1"/>
  <c r="P247" i="84" a="1"/>
  <c r="P247" i="84" s="1"/>
  <c r="P244" i="84" a="1"/>
  <c r="P244" i="84" s="1"/>
  <c r="S81" i="87" a="1"/>
  <c r="S81" i="87" s="1"/>
  <c r="S111" i="87" a="1"/>
  <c r="S111" i="87" s="1"/>
  <c r="S144" i="87" a="1"/>
  <c r="S144" i="87" s="1"/>
  <c r="S82" i="87" a="1"/>
  <c r="S82" i="87" s="1"/>
  <c r="S145" i="87" a="1"/>
  <c r="S145" i="87" s="1"/>
  <c r="S112" i="87" a="1"/>
  <c r="S112" i="87" s="1"/>
  <c r="U77" i="87" a="1"/>
  <c r="U77" i="87" s="1"/>
  <c r="U140" i="87" a="1"/>
  <c r="U140" i="87" s="1"/>
  <c r="U107" i="87" a="1"/>
  <c r="U107" i="87" s="1"/>
  <c r="S50" i="86" a="1"/>
  <c r="S50" i="86" s="1"/>
  <c r="S59" i="87"/>
  <c r="S113" i="87" s="1" a="1"/>
  <c r="S113" i="87" s="1"/>
  <c r="E300" i="83"/>
  <c r="S143" i="87" a="1"/>
  <c r="S143" i="87" s="1"/>
  <c r="S110" i="87" a="1"/>
  <c r="S110" i="87" s="1"/>
  <c r="S80" i="87" a="1"/>
  <c r="S80" i="87" s="1"/>
  <c r="U55" i="87"/>
  <c r="U109" i="87" s="1" a="1"/>
  <c r="U109" i="87" s="1"/>
  <c r="U49" i="86" a="1"/>
  <c r="U49" i="86" s="1"/>
  <c r="R109" i="87" a="1"/>
  <c r="R109" i="87" s="1"/>
  <c r="R79" i="87" a="1"/>
  <c r="R79" i="87" s="1"/>
  <c r="R142" i="87" a="1"/>
  <c r="R142" i="87" s="1"/>
  <c r="U80" i="87" a="1"/>
  <c r="U80" i="87" s="1"/>
  <c r="U143" i="87" a="1"/>
  <c r="U143" i="87" s="1"/>
  <c r="U110" i="87" a="1"/>
  <c r="U110" i="87" s="1"/>
  <c r="S139" i="87" a="1"/>
  <c r="S139" i="87" s="1"/>
  <c r="S106" i="87" a="1"/>
  <c r="S106" i="87" s="1"/>
  <c r="S76" i="87" a="1"/>
  <c r="S76" i="87" s="1"/>
  <c r="T109" i="87" a="1"/>
  <c r="T109" i="87" s="1"/>
  <c r="T79" i="87" a="1"/>
  <c r="T79" i="87" s="1"/>
  <c r="T142" i="87" a="1"/>
  <c r="T142" i="87" s="1"/>
  <c r="U144" i="87" a="1"/>
  <c r="U144" i="87" s="1"/>
  <c r="U81" i="87" a="1"/>
  <c r="U81" i="87" s="1"/>
  <c r="U111" i="87" a="1"/>
  <c r="U111" i="87" s="1"/>
  <c r="U145" i="87" a="1"/>
  <c r="U145" i="87" s="1"/>
  <c r="U112" i="87" a="1"/>
  <c r="U112" i="87" s="1"/>
  <c r="U82" i="87" a="1"/>
  <c r="U82" i="87" s="1"/>
  <c r="S78" i="87" a="1"/>
  <c r="S78" i="87" s="1"/>
  <c r="S108" i="87" a="1"/>
  <c r="S108" i="87" s="1"/>
  <c r="S141" i="87" a="1"/>
  <c r="S141" i="87" s="1"/>
  <c r="S107" i="87" a="1"/>
  <c r="S107" i="87" s="1"/>
  <c r="S77" i="87" a="1"/>
  <c r="S77" i="87" s="1"/>
  <c r="S140" i="87" a="1"/>
  <c r="S140" i="87" s="1"/>
  <c r="D176" i="84" a="1"/>
  <c r="D176" i="84" s="1"/>
  <c r="D213" i="84" a="1"/>
  <c r="D213" i="84" s="1"/>
  <c r="T146" i="87" a="1"/>
  <c r="T146" i="87" s="1"/>
  <c r="T113" i="87" a="1"/>
  <c r="T113" i="87" s="1"/>
  <c r="T83" i="87" a="1"/>
  <c r="T83" i="87" s="1"/>
  <c r="U141" i="87" a="1"/>
  <c r="U141" i="87" s="1"/>
  <c r="U108" i="87" a="1"/>
  <c r="U108" i="87" s="1"/>
  <c r="U78" i="87" a="1"/>
  <c r="U78" i="87" s="1"/>
  <c r="R83" i="87" a="1"/>
  <c r="R83" i="87" s="1"/>
  <c r="D70" i="13"/>
  <c r="D65" i="13"/>
  <c r="F61" i="13" a="1"/>
  <c r="F61" i="13" s="1"/>
  <c r="I61" i="13" s="1"/>
  <c r="E61" i="13" a="1"/>
  <c r="E61" i="13" s="1"/>
  <c r="H61" i="13" s="1"/>
  <c r="E60" i="13" a="1"/>
  <c r="E60" i="13" s="1"/>
  <c r="H60" i="13" s="1"/>
  <c r="F59" i="13" a="1"/>
  <c r="F59" i="13" s="1"/>
  <c r="I59" i="13" s="1"/>
  <c r="E59" i="13" a="1"/>
  <c r="E59" i="13" s="1"/>
  <c r="H59" i="13" s="1"/>
  <c r="E58" i="13" a="1"/>
  <c r="E58" i="13" s="1"/>
  <c r="H58" i="13" s="1"/>
  <c r="D58" i="13" a="1"/>
  <c r="D58" i="13" s="1"/>
  <c r="E57" i="13" a="1"/>
  <c r="E57" i="13" s="1"/>
  <c r="F56" i="13" a="1"/>
  <c r="F56" i="13" s="1"/>
  <c r="I56" i="13" s="1"/>
  <c r="E56" i="13" a="1"/>
  <c r="E56" i="13" s="1"/>
  <c r="H56" i="13" s="1"/>
  <c r="F55" i="13" a="1"/>
  <c r="F55" i="13" s="1"/>
  <c r="I55" i="13" s="1"/>
  <c r="E55" i="13" a="1"/>
  <c r="E55" i="13" s="1"/>
  <c r="H55" i="13" s="1"/>
  <c r="F54" i="13" a="1"/>
  <c r="F54" i="13" s="1"/>
  <c r="I54" i="13" s="1"/>
  <c r="E54" i="13" a="1"/>
  <c r="E54" i="13" s="1"/>
  <c r="H54" i="13" s="1"/>
  <c r="F53" i="13" a="1"/>
  <c r="F53" i="13" s="1"/>
  <c r="I53" i="13" s="1"/>
  <c r="E53" i="13" a="1"/>
  <c r="E53" i="13" s="1"/>
  <c r="H53" i="13" s="1"/>
  <c r="F52" i="13" a="1"/>
  <c r="F52" i="13" s="1"/>
  <c r="I52" i="13" s="1"/>
  <c r="E52" i="13" a="1"/>
  <c r="E52" i="13" s="1"/>
  <c r="H52" i="13" s="1"/>
  <c r="F51" i="13" a="1"/>
  <c r="F51" i="13" s="1"/>
  <c r="I51" i="13" s="1"/>
  <c r="E51" i="13" a="1"/>
  <c r="E51" i="13" s="1"/>
  <c r="H51" i="13" s="1"/>
  <c r="F50" i="13" a="1"/>
  <c r="F50" i="13" s="1"/>
  <c r="I50" i="13" s="1"/>
  <c r="E50" i="13" a="1"/>
  <c r="E50" i="13" s="1"/>
  <c r="H50" i="13" s="1"/>
  <c r="F49" i="13" a="1"/>
  <c r="F49" i="13" s="1"/>
  <c r="I49" i="13" s="1"/>
  <c r="E49" i="13" a="1"/>
  <c r="E49" i="13" s="1"/>
  <c r="H49" i="13" s="1"/>
  <c r="F48" i="13" a="1"/>
  <c r="F48" i="13" s="1"/>
  <c r="I48" i="13" s="1"/>
  <c r="E48" i="13" a="1"/>
  <c r="E48" i="13" s="1"/>
  <c r="H48" i="13" s="1"/>
  <c r="F47" i="13" a="1"/>
  <c r="F47" i="13" s="1"/>
  <c r="I47" i="13" s="1"/>
  <c r="E47" i="13" a="1"/>
  <c r="E47" i="13" s="1"/>
  <c r="H47" i="13" s="1"/>
  <c r="F46" i="13" a="1"/>
  <c r="F46" i="13" s="1"/>
  <c r="I46" i="13" s="1"/>
  <c r="E46" i="13" a="1"/>
  <c r="E46" i="13" s="1"/>
  <c r="H46" i="13" s="1"/>
  <c r="G280" i="84" l="1" a="1"/>
  <c r="G280" i="84" s="1"/>
  <c r="G42" i="87"/>
  <c r="G21" i="85"/>
  <c r="G42" i="85" s="1" a="1"/>
  <c r="G42" i="85" s="1"/>
  <c r="H26" i="85"/>
  <c r="H47" i="85" s="1" a="1"/>
  <c r="H47" i="85" s="1"/>
  <c r="H285" i="84" a="1"/>
  <c r="H285" i="84" s="1"/>
  <c r="H24" i="86"/>
  <c r="H30" i="86" s="1" a="1"/>
  <c r="H30" i="86" s="1"/>
  <c r="H47" i="87"/>
  <c r="G285" i="84" a="1"/>
  <c r="G285" i="84" s="1"/>
  <c r="G47" i="87"/>
  <c r="G24" i="86"/>
  <c r="G30" i="86" s="1" a="1"/>
  <c r="G30" i="86" s="1"/>
  <c r="G26" i="85"/>
  <c r="G47" i="85" s="1" a="1"/>
  <c r="G47" i="85" s="1"/>
  <c r="J245" i="84" a="1"/>
  <c r="J245" i="84" s="1"/>
  <c r="J244" i="84" a="1"/>
  <c r="J244" i="84" s="1"/>
  <c r="J247" i="84" a="1"/>
  <c r="J247" i="84" s="1"/>
  <c r="H19" i="88"/>
  <c r="J31" i="88" s="1" a="1"/>
  <c r="J31" i="88" s="1"/>
  <c r="J248" i="84" a="1"/>
  <c r="J248" i="84" s="1"/>
  <c r="J250" i="84" a="1"/>
  <c r="J250" i="84" s="1"/>
  <c r="J243" i="84" a="1"/>
  <c r="J243" i="84" s="1"/>
  <c r="J249" i="84" a="1"/>
  <c r="J249" i="84" s="1"/>
  <c r="J246" i="84" a="1"/>
  <c r="J246" i="84" s="1"/>
  <c r="G23" i="85"/>
  <c r="G44" i="85" s="1" a="1"/>
  <c r="G44" i="85" s="1"/>
  <c r="G44" i="87"/>
  <c r="G282" i="84" a="1"/>
  <c r="G282" i="84" s="1"/>
  <c r="G40" i="87"/>
  <c r="G19" i="85"/>
  <c r="G40" i="85" s="1" a="1"/>
  <c r="G40" i="85" s="1"/>
  <c r="G278" i="84" a="1"/>
  <c r="G278" i="84" s="1"/>
  <c r="G284" i="84" a="1"/>
  <c r="G284" i="84" s="1"/>
  <c r="G25" i="85"/>
  <c r="G46" i="85" s="1" a="1"/>
  <c r="G46" i="85" s="1"/>
  <c r="G46" i="87"/>
  <c r="H283" i="84" a="1"/>
  <c r="H283" i="84" s="1"/>
  <c r="H24" i="85"/>
  <c r="H45" i="85" s="1" a="1"/>
  <c r="H45" i="85" s="1"/>
  <c r="H45" i="87"/>
  <c r="G279" i="84" a="1"/>
  <c r="G279" i="84" s="1"/>
  <c r="G41" i="87"/>
  <c r="G20" i="85"/>
  <c r="G41" i="85" s="1" a="1"/>
  <c r="G41" i="85" s="1"/>
  <c r="S79" i="87" a="1"/>
  <c r="S79" i="87" s="1"/>
  <c r="H282" i="84" a="1"/>
  <c r="H282" i="84" s="1"/>
  <c r="H23" i="85"/>
  <c r="H44" i="85" s="1" a="1"/>
  <c r="H44" i="85" s="1"/>
  <c r="H44" i="87"/>
  <c r="G281" i="84" a="1"/>
  <c r="G281" i="84" s="1"/>
  <c r="G22" i="85"/>
  <c r="G43" i="85" s="1" a="1"/>
  <c r="G43" i="85" s="1"/>
  <c r="G23" i="86"/>
  <c r="G29" i="86" s="1" a="1"/>
  <c r="G29" i="86" s="1"/>
  <c r="G43" i="87"/>
  <c r="S142" i="87" a="1"/>
  <c r="S142" i="87" s="1"/>
  <c r="H51" i="88" a="1"/>
  <c r="H51" i="88" s="1"/>
  <c r="H19" i="89"/>
  <c r="H24" i="89" s="1" a="1"/>
  <c r="H24" i="89" s="1"/>
  <c r="H23" i="90"/>
  <c r="H28" i="90" s="1" a="1"/>
  <c r="H28" i="90" s="1"/>
  <c r="G24" i="85"/>
  <c r="G45" i="85" s="1" a="1"/>
  <c r="G45" i="85" s="1"/>
  <c r="G45" i="87"/>
  <c r="G283" i="84" a="1"/>
  <c r="G283" i="84" s="1"/>
  <c r="H279" i="84" a="1"/>
  <c r="H279" i="84" s="1"/>
  <c r="H41" i="87"/>
  <c r="H20" i="85"/>
  <c r="H41" i="85" s="1" a="1"/>
  <c r="H41" i="85" s="1"/>
  <c r="G51" i="88" a="1"/>
  <c r="G51" i="88" s="1"/>
  <c r="G23" i="90"/>
  <c r="G28" i="90" s="1" a="1"/>
  <c r="G28" i="90" s="1"/>
  <c r="G19" i="89"/>
  <c r="G24" i="89" s="1" a="1"/>
  <c r="G24" i="89" s="1"/>
  <c r="H25" i="85"/>
  <c r="H46" i="85" s="1" a="1"/>
  <c r="H46" i="85" s="1"/>
  <c r="H284" i="84" a="1"/>
  <c r="H284" i="84" s="1"/>
  <c r="H46" i="87"/>
  <c r="H281" i="84" a="1"/>
  <c r="H281" i="84" s="1"/>
  <c r="H23" i="86"/>
  <c r="H29" i="86" s="1" a="1"/>
  <c r="H29" i="86" s="1"/>
  <c r="H43" i="87"/>
  <c r="H22" i="85"/>
  <c r="H43" i="85" s="1" a="1"/>
  <c r="H43" i="85" s="1"/>
  <c r="I250" i="84" a="1"/>
  <c r="I250" i="84" s="1"/>
  <c r="I243" i="84" a="1"/>
  <c r="I243" i="84" s="1"/>
  <c r="I247" i="84" a="1"/>
  <c r="I247" i="84" s="1"/>
  <c r="I245" i="84" a="1"/>
  <c r="I245" i="84" s="1"/>
  <c r="I248" i="84" a="1"/>
  <c r="I248" i="84" s="1"/>
  <c r="I246" i="84" a="1"/>
  <c r="I246" i="84" s="1"/>
  <c r="G19" i="88"/>
  <c r="I31" i="88" s="1" a="1"/>
  <c r="I31" i="88" s="1"/>
  <c r="I244" i="84" a="1"/>
  <c r="I244" i="84" s="1"/>
  <c r="I249" i="84" a="1"/>
  <c r="I249" i="84" s="1"/>
  <c r="H278" i="84" a="1"/>
  <c r="H278" i="84" s="1"/>
  <c r="H19" i="85"/>
  <c r="H40" i="85" s="1" a="1"/>
  <c r="H40" i="85" s="1"/>
  <c r="H40" i="87"/>
  <c r="H280" i="84" a="1"/>
  <c r="H280" i="84" s="1"/>
  <c r="H42" i="87"/>
  <c r="H21" i="85"/>
  <c r="H42" i="85" s="1" a="1"/>
  <c r="H42" i="85" s="1"/>
  <c r="U146" i="87" a="1"/>
  <c r="U146" i="87" s="1"/>
  <c r="U79" i="87" a="1"/>
  <c r="U79" i="87" s="1"/>
  <c r="U142" i="87" a="1"/>
  <c r="U142" i="87" s="1"/>
  <c r="P282" i="84" a="1"/>
  <c r="P282" i="84" s="1"/>
  <c r="Q23" i="85"/>
  <c r="Q44" i="85" s="1" a="1"/>
  <c r="Q44" i="85" s="1"/>
  <c r="Q44" i="87"/>
  <c r="P283" i="84" a="1"/>
  <c r="P283" i="84" s="1"/>
  <c r="Q45" i="87"/>
  <c r="Q24" i="85"/>
  <c r="Q45" i="85" s="1" a="1"/>
  <c r="Q45" i="85" s="1"/>
  <c r="P281" i="84" a="1"/>
  <c r="P281" i="84" s="1"/>
  <c r="Q43" i="87"/>
  <c r="Q23" i="86"/>
  <c r="Q29" i="86" s="1" a="1"/>
  <c r="Q29" i="86" s="1"/>
  <c r="Q22" i="85"/>
  <c r="Q43" i="85" s="1" a="1"/>
  <c r="Q43" i="85" s="1"/>
  <c r="P285" i="84" a="1"/>
  <c r="P285" i="84" s="1"/>
  <c r="Q47" i="87"/>
  <c r="Q26" i="85"/>
  <c r="Q47" i="85" s="1" a="1"/>
  <c r="Q47" i="85" s="1"/>
  <c r="Q24" i="86"/>
  <c r="Q30" i="86" s="1" a="1"/>
  <c r="Q30" i="86" s="1"/>
  <c r="S146" i="87" a="1"/>
  <c r="S146" i="87" s="1"/>
  <c r="Q21" i="85"/>
  <c r="Q42" i="85" s="1" a="1"/>
  <c r="Q42" i="85" s="1"/>
  <c r="P280" i="84" a="1"/>
  <c r="P280" i="84" s="1"/>
  <c r="Q42" i="87"/>
  <c r="Q25" i="85"/>
  <c r="Q46" i="85" s="1" a="1"/>
  <c r="Q46" i="85" s="1"/>
  <c r="P284" i="84" a="1"/>
  <c r="P284" i="84" s="1"/>
  <c r="Q46" i="87"/>
  <c r="S83" i="87" a="1"/>
  <c r="S83" i="87" s="1"/>
  <c r="P279" i="84" a="1"/>
  <c r="P279" i="84" s="1"/>
  <c r="Q20" i="85"/>
  <c r="Q41" i="85" s="1" a="1"/>
  <c r="Q41" i="85" s="1"/>
  <c r="Q41" i="87"/>
  <c r="Q40" i="87"/>
  <c r="P278" i="84" a="1"/>
  <c r="P278" i="84" s="1"/>
  <c r="Q19" i="85"/>
  <c r="Q40" i="85" s="1" a="1"/>
  <c r="Q40" i="85" s="1"/>
  <c r="Q51" i="88" a="1"/>
  <c r="Q51" i="88" s="1"/>
  <c r="P53" i="88" s="1"/>
  <c r="R55" i="88" s="1"/>
  <c r="P58" i="88" s="1" a="1"/>
  <c r="P58" i="88" s="1"/>
  <c r="Q19" i="89"/>
  <c r="Q24" i="89" s="1" a="1"/>
  <c r="Q24" i="89" s="1"/>
  <c r="P26" i="89" s="1"/>
  <c r="S38" i="89" s="1"/>
  <c r="Q23" i="90"/>
  <c r="Q28" i="90" s="1" a="1"/>
  <c r="Q28" i="90" s="1"/>
  <c r="P30" i="90" s="1"/>
  <c r="U43" i="90" s="1"/>
  <c r="P47" i="90" s="1" a="1"/>
  <c r="P47" i="90" s="1"/>
  <c r="R49" i="90" s="1"/>
  <c r="P52" i="90" s="1" a="1"/>
  <c r="P52" i="90" s="1"/>
  <c r="D19" i="88"/>
  <c r="F31" i="88" s="1" a="1"/>
  <c r="F31" i="88" s="1"/>
  <c r="F249" i="84" a="1"/>
  <c r="F249" i="84" s="1"/>
  <c r="F243" i="84" a="1"/>
  <c r="F243" i="84" s="1"/>
  <c r="F246" i="84" a="1"/>
  <c r="F246" i="84" s="1"/>
  <c r="F250" i="84" a="1"/>
  <c r="F250" i="84" s="1"/>
  <c r="F247" i="84" a="1"/>
  <c r="F247" i="84" s="1"/>
  <c r="F244" i="84" a="1"/>
  <c r="F244" i="84" s="1"/>
  <c r="F245" i="84" a="1"/>
  <c r="F245" i="84" s="1"/>
  <c r="F248" i="84" a="1"/>
  <c r="F248" i="84" s="1"/>
  <c r="U83" i="87" a="1"/>
  <c r="U83" i="87" s="1"/>
  <c r="F57" i="13"/>
  <c r="I57" i="13" s="1"/>
  <c r="H57" i="13"/>
  <c r="H62" i="13" s="1"/>
  <c r="F60" i="13"/>
  <c r="I60" i="13" s="1"/>
  <c r="F58" i="13"/>
  <c r="I58" i="13" s="1"/>
  <c r="H107" i="87" l="1" a="1"/>
  <c r="H107" i="87" s="1"/>
  <c r="H77" i="87" a="1"/>
  <c r="H77" i="87" s="1"/>
  <c r="H140" i="87" a="1"/>
  <c r="H140" i="87" s="1"/>
  <c r="I24" i="86"/>
  <c r="I30" i="86" s="1" a="1"/>
  <c r="I30" i="86" s="1"/>
  <c r="I285" i="84" a="1"/>
  <c r="I285" i="84" s="1"/>
  <c r="I26" i="85"/>
  <c r="I47" i="85" s="1" a="1"/>
  <c r="I47" i="85" s="1"/>
  <c r="I47" i="87"/>
  <c r="G143" i="87" a="1"/>
  <c r="G143" i="87" s="1"/>
  <c r="G110" i="87" a="1"/>
  <c r="G110" i="87" s="1"/>
  <c r="G80" i="87" a="1"/>
  <c r="G80" i="87" s="1"/>
  <c r="J279" i="84" a="1"/>
  <c r="J279" i="84" s="1"/>
  <c r="J41" i="87"/>
  <c r="J20" i="85"/>
  <c r="J41" i="85" s="1" a="1"/>
  <c r="J41" i="85" s="1"/>
  <c r="H108" i="87" a="1"/>
  <c r="H108" i="87" s="1"/>
  <c r="H141" i="87" a="1"/>
  <c r="H141" i="87" s="1"/>
  <c r="H78" i="87" a="1"/>
  <c r="H78" i="87" s="1"/>
  <c r="G81" i="87" a="1"/>
  <c r="G81" i="87" s="1"/>
  <c r="G111" i="87" a="1"/>
  <c r="G111" i="87" s="1"/>
  <c r="G144" i="87" a="1"/>
  <c r="G144" i="87" s="1"/>
  <c r="J280" i="84" a="1"/>
  <c r="J280" i="84" s="1"/>
  <c r="J42" i="87"/>
  <c r="J21" i="85"/>
  <c r="J42" i="85" s="1" a="1"/>
  <c r="J42" i="85" s="1"/>
  <c r="I280" i="84" a="1"/>
  <c r="I280" i="84" s="1"/>
  <c r="I42" i="87"/>
  <c r="I21" i="85"/>
  <c r="I42" i="85" s="1" a="1"/>
  <c r="I42" i="85" s="1"/>
  <c r="H110" i="87" a="1"/>
  <c r="H110" i="87" s="1"/>
  <c r="H80" i="87" a="1"/>
  <c r="H80" i="87" s="1"/>
  <c r="H143" i="87" a="1"/>
  <c r="H143" i="87" s="1"/>
  <c r="G50" i="86" a="1"/>
  <c r="G50" i="86" s="1"/>
  <c r="G59" i="87"/>
  <c r="G146" i="87" s="1" a="1"/>
  <c r="G146" i="87" s="1"/>
  <c r="G140" i="87" a="1"/>
  <c r="G140" i="87" s="1"/>
  <c r="G77" i="87" a="1"/>
  <c r="G77" i="87" s="1"/>
  <c r="G107" i="87" a="1"/>
  <c r="G107" i="87" s="1"/>
  <c r="J23" i="86"/>
  <c r="J29" i="86" s="1" a="1"/>
  <c r="J29" i="86" s="1"/>
  <c r="J22" i="85"/>
  <c r="J43" i="85" s="1" a="1"/>
  <c r="J43" i="85" s="1"/>
  <c r="J281" i="84" a="1"/>
  <c r="J281" i="84" s="1"/>
  <c r="J43" i="87"/>
  <c r="H59" i="87"/>
  <c r="H50" i="86" a="1"/>
  <c r="H50" i="86" s="1"/>
  <c r="H76" i="87" a="1"/>
  <c r="H76" i="87" s="1"/>
  <c r="H139" i="87" a="1"/>
  <c r="H139" i="87" s="1"/>
  <c r="H106" i="87" a="1"/>
  <c r="H106" i="87" s="1"/>
  <c r="H49" i="86" a="1"/>
  <c r="H49" i="86" s="1"/>
  <c r="H55" i="87"/>
  <c r="J46" i="87"/>
  <c r="J25" i="85"/>
  <c r="J46" i="85" s="1" a="1"/>
  <c r="J46" i="85" s="1"/>
  <c r="J284" i="84" a="1"/>
  <c r="J284" i="84" s="1"/>
  <c r="I23" i="85"/>
  <c r="I44" i="85" s="1" a="1"/>
  <c r="I44" i="85" s="1"/>
  <c r="I44" i="87"/>
  <c r="I282" i="84" a="1"/>
  <c r="I282" i="84" s="1"/>
  <c r="I40" i="87"/>
  <c r="I19" i="85"/>
  <c r="I40" i="85" s="1" a="1"/>
  <c r="I40" i="85" s="1"/>
  <c r="I278" i="84" a="1"/>
  <c r="I278" i="84" s="1"/>
  <c r="H111" i="87" a="1"/>
  <c r="H111" i="87" s="1"/>
  <c r="H81" i="87" a="1"/>
  <c r="H81" i="87" s="1"/>
  <c r="H144" i="87" a="1"/>
  <c r="H144" i="87" s="1"/>
  <c r="J278" i="84" a="1"/>
  <c r="J278" i="84" s="1"/>
  <c r="J19" i="85"/>
  <c r="J40" i="85" s="1" a="1"/>
  <c r="J40" i="85" s="1"/>
  <c r="J40" i="87"/>
  <c r="J23" i="85"/>
  <c r="J44" i="85" s="1" a="1"/>
  <c r="J44" i="85" s="1"/>
  <c r="J44" i="87"/>
  <c r="J282" i="84" a="1"/>
  <c r="J282" i="84" s="1"/>
  <c r="H82" i="87" a="1"/>
  <c r="H82" i="87" s="1"/>
  <c r="H145" i="87" a="1"/>
  <c r="H145" i="87" s="1"/>
  <c r="H112" i="87" a="1"/>
  <c r="H112" i="87" s="1"/>
  <c r="J26" i="85"/>
  <c r="J47" i="85" s="1" a="1"/>
  <c r="J47" i="85" s="1"/>
  <c r="J47" i="87"/>
  <c r="J24" i="86"/>
  <c r="J30" i="86" s="1" a="1"/>
  <c r="J30" i="86" s="1"/>
  <c r="J285" i="84" a="1"/>
  <c r="J285" i="84" s="1"/>
  <c r="I19" i="89"/>
  <c r="I24" i="89" s="1" a="1"/>
  <c r="I24" i="89" s="1"/>
  <c r="I23" i="90"/>
  <c r="I28" i="90" s="1" a="1"/>
  <c r="I28" i="90" s="1"/>
  <c r="I51" i="88" a="1"/>
  <c r="I51" i="88" s="1"/>
  <c r="I24" i="85"/>
  <c r="I45" i="85" s="1" a="1"/>
  <c r="I45" i="85" s="1"/>
  <c r="I45" i="87"/>
  <c r="I283" i="84" a="1"/>
  <c r="I283" i="84" s="1"/>
  <c r="G76" i="87" a="1"/>
  <c r="G76" i="87" s="1"/>
  <c r="G139" i="87" a="1"/>
  <c r="G139" i="87" s="1"/>
  <c r="G106" i="87" a="1"/>
  <c r="G106" i="87" s="1"/>
  <c r="I25" i="85"/>
  <c r="I46" i="85" s="1" a="1"/>
  <c r="I46" i="85" s="1"/>
  <c r="I46" i="87"/>
  <c r="I284" i="84" a="1"/>
  <c r="I284" i="84" s="1"/>
  <c r="J283" i="84" a="1"/>
  <c r="J283" i="84" s="1"/>
  <c r="J45" i="87"/>
  <c r="J24" i="85"/>
  <c r="J45" i="85" s="1" a="1"/>
  <c r="J45" i="85" s="1"/>
  <c r="G141" i="87" a="1"/>
  <c r="G141" i="87" s="1"/>
  <c r="G78" i="87" a="1"/>
  <c r="G78" i="87" s="1"/>
  <c r="G108" i="87" a="1"/>
  <c r="G108" i="87" s="1"/>
  <c r="G49" i="86" a="1"/>
  <c r="G49" i="86" s="1"/>
  <c r="G55" i="87"/>
  <c r="G109" i="87" s="1" a="1"/>
  <c r="G109" i="87" s="1"/>
  <c r="I281" i="84" a="1"/>
  <c r="I281" i="84" s="1"/>
  <c r="I43" i="87"/>
  <c r="I23" i="86"/>
  <c r="I29" i="86" s="1" a="1"/>
  <c r="I29" i="86" s="1"/>
  <c r="I22" i="85"/>
  <c r="I43" i="85" s="1" a="1"/>
  <c r="I43" i="85" s="1"/>
  <c r="I20" i="85"/>
  <c r="I41" i="85" s="1" a="1"/>
  <c r="I41" i="85" s="1"/>
  <c r="I41" i="87"/>
  <c r="I279" i="84" a="1"/>
  <c r="I279" i="84" s="1"/>
  <c r="G79" i="87" a="1"/>
  <c r="G79" i="87" s="1"/>
  <c r="G82" i="87" a="1"/>
  <c r="G82" i="87" s="1"/>
  <c r="G112" i="87" a="1"/>
  <c r="G112" i="87" s="1"/>
  <c r="G145" i="87" a="1"/>
  <c r="G145" i="87" s="1"/>
  <c r="J23" i="90"/>
  <c r="J28" i="90" s="1" a="1"/>
  <c r="J28" i="90" s="1"/>
  <c r="J51" i="88" a="1"/>
  <c r="J51" i="88" s="1"/>
  <c r="J19" i="89"/>
  <c r="J24" i="89" s="1" a="1"/>
  <c r="J24" i="89" s="1"/>
  <c r="F51" i="88" a="1"/>
  <c r="F51" i="88" s="1"/>
  <c r="E53" i="88" s="1"/>
  <c r="G55" i="88" s="1"/>
  <c r="E58" i="88" s="1" a="1"/>
  <c r="E58" i="88" s="1"/>
  <c r="F19" i="89"/>
  <c r="F24" i="89" s="1" a="1"/>
  <c r="F24" i="89" s="1"/>
  <c r="F23" i="90"/>
  <c r="F28" i="90" s="1" a="1"/>
  <c r="F28" i="90" s="1"/>
  <c r="F278" i="84" a="1"/>
  <c r="F278" i="84" s="1"/>
  <c r="F40" i="87"/>
  <c r="F19" i="85"/>
  <c r="F40" i="85" s="1" a="1"/>
  <c r="F40" i="85" s="1"/>
  <c r="F283" i="84" a="1"/>
  <c r="F283" i="84" s="1"/>
  <c r="F45" i="87"/>
  <c r="F24" i="85"/>
  <c r="F45" i="85" s="1" a="1"/>
  <c r="F45" i="85" s="1"/>
  <c r="Q106" i="87" a="1"/>
  <c r="Q106" i="87" s="1"/>
  <c r="Q76" i="87" a="1"/>
  <c r="Q76" i="87" s="1"/>
  <c r="Q139" i="87" a="1"/>
  <c r="Q139" i="87" s="1"/>
  <c r="F21" i="85"/>
  <c r="F42" i="85" s="1" a="1"/>
  <c r="F42" i="85" s="1"/>
  <c r="F280" i="84" a="1"/>
  <c r="F280" i="84" s="1"/>
  <c r="F42" i="87"/>
  <c r="Q107" i="87" a="1"/>
  <c r="Q107" i="87" s="1"/>
  <c r="Q77" i="87" a="1"/>
  <c r="Q77" i="87" s="1"/>
  <c r="Q140" i="87" a="1"/>
  <c r="Q140" i="87" s="1"/>
  <c r="Q144" i="87" a="1"/>
  <c r="Q144" i="87" s="1"/>
  <c r="Q81" i="87" a="1"/>
  <c r="Q81" i="87" s="1"/>
  <c r="Q111" i="87" a="1"/>
  <c r="Q111" i="87" s="1"/>
  <c r="Q141" i="87" a="1"/>
  <c r="Q141" i="87" s="1"/>
  <c r="Q108" i="87" a="1"/>
  <c r="Q108" i="87" s="1"/>
  <c r="Q78" i="87" a="1"/>
  <c r="Q78" i="87" s="1"/>
  <c r="P49" i="85"/>
  <c r="R61" i="85" s="1"/>
  <c r="F41" i="87"/>
  <c r="F20" i="85"/>
  <c r="F41" i="85" s="1" a="1"/>
  <c r="F41" i="85" s="1"/>
  <c r="F279" i="84" a="1"/>
  <c r="F279" i="84" s="1"/>
  <c r="F23" i="85"/>
  <c r="F44" i="85" s="1" a="1"/>
  <c r="F44" i="85" s="1"/>
  <c r="F282" i="84" a="1"/>
  <c r="F282" i="84" s="1"/>
  <c r="F44" i="87"/>
  <c r="Q50" i="86" a="1"/>
  <c r="Q50" i="86" s="1"/>
  <c r="Q59" i="87"/>
  <c r="Q113" i="87" s="1" a="1"/>
  <c r="Q113" i="87" s="1"/>
  <c r="Q143" i="87" a="1"/>
  <c r="Q143" i="87" s="1"/>
  <c r="Q80" i="87" a="1"/>
  <c r="Q80" i="87" s="1"/>
  <c r="Q110" i="87" a="1"/>
  <c r="Q110" i="87" s="1"/>
  <c r="F26" i="85"/>
  <c r="F47" i="85" s="1" a="1"/>
  <c r="F47" i="85" s="1"/>
  <c r="F285" i="84" a="1"/>
  <c r="F285" i="84" s="1"/>
  <c r="F24" i="86"/>
  <c r="F30" i="86" s="1" a="1"/>
  <c r="F30" i="86" s="1"/>
  <c r="F47" i="87"/>
  <c r="Q145" i="87" a="1"/>
  <c r="Q145" i="87" s="1"/>
  <c r="Q82" i="87" a="1"/>
  <c r="Q82" i="87" s="1"/>
  <c r="Q112" i="87" a="1"/>
  <c r="Q112" i="87" s="1"/>
  <c r="F46" i="87"/>
  <c r="F25" i="85"/>
  <c r="F46" i="85" s="1" a="1"/>
  <c r="F46" i="85" s="1"/>
  <c r="F284" i="84" a="1"/>
  <c r="F284" i="84" s="1"/>
  <c r="Q49" i="86" a="1"/>
  <c r="Q49" i="86" s="1"/>
  <c r="Q55" i="87"/>
  <c r="Q109" i="87" s="1" a="1"/>
  <c r="Q109" i="87" s="1"/>
  <c r="O287" i="84"/>
  <c r="Q289" i="84" s="1"/>
  <c r="O292" i="84" s="1" a="1"/>
  <c r="O292" i="84" s="1"/>
  <c r="F23" i="86"/>
  <c r="F29" i="86" s="1" a="1"/>
  <c r="F29" i="86" s="1"/>
  <c r="F43" i="87"/>
  <c r="F281" i="84" a="1"/>
  <c r="F281" i="84" s="1"/>
  <c r="F22" i="85"/>
  <c r="F43" i="85" s="1" a="1"/>
  <c r="F43" i="85" s="1"/>
  <c r="I62" i="13"/>
  <c r="E30" i="90" l="1"/>
  <c r="J43" i="90" s="1"/>
  <c r="E47" i="90" s="1" a="1"/>
  <c r="E47" i="90" s="1"/>
  <c r="G49" i="90" s="1"/>
  <c r="E52" i="90" s="1" a="1"/>
  <c r="E52" i="90" s="1"/>
  <c r="G142" i="87" a="1"/>
  <c r="G142" i="87" s="1"/>
  <c r="G83" i="87" a="1"/>
  <c r="G83" i="87" s="1"/>
  <c r="E26" i="89"/>
  <c r="I38" i="89" s="1"/>
  <c r="Q142" i="87" a="1"/>
  <c r="Q142" i="87" s="1"/>
  <c r="Q146" i="87" a="1"/>
  <c r="Q146" i="87" s="1"/>
  <c r="Q83" i="87" a="1"/>
  <c r="Q83" i="87" s="1"/>
  <c r="H113" i="87" a="1"/>
  <c r="H113" i="87" s="1"/>
  <c r="H146" i="87" a="1"/>
  <c r="H146" i="87" s="1"/>
  <c r="H83" i="87" a="1"/>
  <c r="H83" i="87" s="1"/>
  <c r="J143" i="87" a="1"/>
  <c r="J143" i="87" s="1"/>
  <c r="J80" i="87" a="1"/>
  <c r="J80" i="87" s="1"/>
  <c r="J110" i="87" a="1"/>
  <c r="J110" i="87" s="1"/>
  <c r="I82" i="87" a="1"/>
  <c r="I82" i="87" s="1"/>
  <c r="I112" i="87" a="1"/>
  <c r="I112" i="87" s="1"/>
  <c r="I145" i="87" a="1"/>
  <c r="I145" i="87" s="1"/>
  <c r="I49" i="86" a="1"/>
  <c r="I49" i="86" s="1"/>
  <c r="I55" i="87"/>
  <c r="I142" i="87" s="1" a="1"/>
  <c r="I142" i="87" s="1"/>
  <c r="J55" i="87"/>
  <c r="J109" i="87" s="1" a="1"/>
  <c r="J109" i="87" s="1"/>
  <c r="J49" i="86" a="1"/>
  <c r="J49" i="86" s="1"/>
  <c r="I81" i="87" a="1"/>
  <c r="I81" i="87" s="1"/>
  <c r="I144" i="87" a="1"/>
  <c r="I144" i="87" s="1"/>
  <c r="I111" i="87" a="1"/>
  <c r="I111" i="87" s="1"/>
  <c r="I78" i="87" a="1"/>
  <c r="I78" i="87" s="1"/>
  <c r="I141" i="87" a="1"/>
  <c r="I141" i="87" s="1"/>
  <c r="I108" i="87" a="1"/>
  <c r="I108" i="87" s="1"/>
  <c r="I76" i="87" a="1"/>
  <c r="I76" i="87" s="1"/>
  <c r="I139" i="87" a="1"/>
  <c r="I139" i="87" s="1"/>
  <c r="I106" i="87" a="1"/>
  <c r="I106" i="87" s="1"/>
  <c r="J77" i="87" a="1"/>
  <c r="J77" i="87" s="1"/>
  <c r="J140" i="87" a="1"/>
  <c r="J140" i="87" s="1"/>
  <c r="J107" i="87" a="1"/>
  <c r="J107" i="87" s="1"/>
  <c r="J76" i="87" a="1"/>
  <c r="J76" i="87" s="1"/>
  <c r="J139" i="87" a="1"/>
  <c r="J139" i="87" s="1"/>
  <c r="J106" i="87" a="1"/>
  <c r="J106" i="87" s="1"/>
  <c r="J145" i="87" a="1"/>
  <c r="J145" i="87" s="1"/>
  <c r="J112" i="87" a="1"/>
  <c r="J112" i="87" s="1"/>
  <c r="J82" i="87" a="1"/>
  <c r="J82" i="87" s="1"/>
  <c r="H142" i="87" a="1"/>
  <c r="H142" i="87" s="1"/>
  <c r="H109" i="87" a="1"/>
  <c r="H109" i="87" s="1"/>
  <c r="H79" i="87" a="1"/>
  <c r="H79" i="87" s="1"/>
  <c r="I50" i="86" a="1"/>
  <c r="I50" i="86" s="1"/>
  <c r="I59" i="87"/>
  <c r="I146" i="87" s="1" a="1"/>
  <c r="I146" i="87" s="1"/>
  <c r="I77" i="87" a="1"/>
  <c r="I77" i="87" s="1"/>
  <c r="I140" i="87" a="1"/>
  <c r="I140" i="87" s="1"/>
  <c r="I107" i="87" a="1"/>
  <c r="I107" i="87" s="1"/>
  <c r="I143" i="87" a="1"/>
  <c r="I143" i="87" s="1"/>
  <c r="I110" i="87" a="1"/>
  <c r="I110" i="87" s="1"/>
  <c r="I80" i="87" a="1"/>
  <c r="I80" i="87" s="1"/>
  <c r="J81" i="87" a="1"/>
  <c r="J81" i="87" s="1"/>
  <c r="J111" i="87" a="1"/>
  <c r="J111" i="87" s="1"/>
  <c r="J144" i="87" a="1"/>
  <c r="J144" i="87" s="1"/>
  <c r="G113" i="87" a="1"/>
  <c r="G113" i="87" s="1"/>
  <c r="J78" i="87" a="1"/>
  <c r="J78" i="87" s="1"/>
  <c r="J141" i="87" a="1"/>
  <c r="J141" i="87" s="1"/>
  <c r="J108" i="87" a="1"/>
  <c r="J108" i="87" s="1"/>
  <c r="J50" i="86" a="1"/>
  <c r="J50" i="86" s="1"/>
  <c r="J59" i="87"/>
  <c r="J146" i="87" s="1" a="1"/>
  <c r="J146" i="87" s="1"/>
  <c r="P52" i="86"/>
  <c r="R54" i="86" s="1"/>
  <c r="P57" i="86" s="1" a="1"/>
  <c r="P57" i="86" s="1"/>
  <c r="Q79" i="87" a="1"/>
  <c r="Q79" i="87" s="1"/>
  <c r="F77" i="87" a="1"/>
  <c r="F77" i="87" s="1"/>
  <c r="F107" i="87" a="1"/>
  <c r="F107" i="87" s="1"/>
  <c r="F140" i="87" a="1"/>
  <c r="F140" i="87" s="1"/>
  <c r="E49" i="85"/>
  <c r="I61" i="85" s="1"/>
  <c r="F76" i="87" a="1"/>
  <c r="F76" i="87" s="1"/>
  <c r="F106" i="87" a="1"/>
  <c r="F106" i="87" s="1"/>
  <c r="F139" i="87" a="1"/>
  <c r="F139" i="87" s="1"/>
  <c r="F50" i="86" a="1"/>
  <c r="F50" i="86" s="1"/>
  <c r="F59" i="87"/>
  <c r="F83" i="87" s="1" a="1"/>
  <c r="F83" i="87" s="1"/>
  <c r="P115" i="87"/>
  <c r="E287" i="84"/>
  <c r="G289" i="84" s="1"/>
  <c r="E292" i="84" s="1" a="1"/>
  <c r="E292" i="84" s="1"/>
  <c r="F80" i="87" a="1"/>
  <c r="F80" i="87" s="1"/>
  <c r="F110" i="87" a="1"/>
  <c r="F110" i="87" s="1"/>
  <c r="F143" i="87" a="1"/>
  <c r="F143" i="87" s="1"/>
  <c r="F49" i="86" a="1"/>
  <c r="F49" i="86" s="1"/>
  <c r="F55" i="87"/>
  <c r="F109" i="87" s="1" a="1"/>
  <c r="F109" i="87" s="1"/>
  <c r="F81" i="87" a="1"/>
  <c r="F81" i="87" s="1"/>
  <c r="F111" i="87" a="1"/>
  <c r="F111" i="87" s="1"/>
  <c r="F144" i="87" a="1"/>
  <c r="F144" i="87" s="1"/>
  <c r="F112" i="87" a="1"/>
  <c r="F112" i="87" s="1"/>
  <c r="F145" i="87" a="1"/>
  <c r="F145" i="87" s="1"/>
  <c r="F82" i="87" a="1"/>
  <c r="F82" i="87" s="1"/>
  <c r="F141" i="87" a="1"/>
  <c r="F141" i="87" s="1"/>
  <c r="F108" i="87" a="1"/>
  <c r="F108" i="87" s="1"/>
  <c r="F78" i="87" a="1"/>
  <c r="F78" i="87" s="1"/>
  <c r="I40" i="13"/>
  <c r="H40" i="13"/>
  <c r="F40" i="13"/>
  <c r="E40" i="13" a="1"/>
  <c r="E40" i="13" s="1"/>
  <c r="D40" i="13" a="1"/>
  <c r="D40" i="13" s="1"/>
  <c r="P148" i="87" l="1"/>
  <c r="J113" i="87" a="1"/>
  <c r="J113" i="87" s="1"/>
  <c r="J83" i="87" a="1"/>
  <c r="J83" i="87" s="1"/>
  <c r="P85" i="87"/>
  <c r="I109" i="87" a="1"/>
  <c r="I109" i="87" s="1"/>
  <c r="J142" i="87" a="1"/>
  <c r="J142" i="87" s="1"/>
  <c r="I79" i="87" a="1"/>
  <c r="I79" i="87" s="1"/>
  <c r="J79" i="87" a="1"/>
  <c r="J79" i="87" s="1"/>
  <c r="I83" i="87" a="1"/>
  <c r="I83" i="87" s="1"/>
  <c r="I113" i="87" a="1"/>
  <c r="I113" i="87" s="1"/>
  <c r="F142" i="87" a="1"/>
  <c r="F142" i="87" s="1"/>
  <c r="E52" i="86"/>
  <c r="G54" i="86" s="1"/>
  <c r="E57" i="86" s="1" a="1"/>
  <c r="E57" i="86" s="1"/>
  <c r="F79" i="87" a="1"/>
  <c r="F79" i="87" s="1"/>
  <c r="F146" i="87" a="1"/>
  <c r="F146" i="87" s="1"/>
  <c r="F113" i="87" a="1"/>
  <c r="F113" i="87" s="1"/>
  <c r="J7"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G9" i="91"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G8" i="91" l="1"/>
  <c r="J50" i="98"/>
  <c r="I49" i="122"/>
  <c r="I39" i="89"/>
  <c r="I50" i="94"/>
  <c r="I125" i="98"/>
  <c r="O108" i="94" a="1"/>
  <c r="O108" i="94" s="1"/>
  <c r="S93" i="94" s="1"/>
  <c r="N110" i="94" s="1" a="1"/>
  <c r="N110" i="94" s="1"/>
  <c r="P112" i="94" s="1"/>
  <c r="N115" i="94" s="1" a="1"/>
  <c r="N115" i="94" s="1"/>
  <c r="I62" i="85"/>
  <c r="P229" i="83"/>
  <c r="P230" i="83"/>
  <c r="P232" i="83"/>
  <c r="P231" i="83"/>
  <c r="E115" i="87"/>
  <c r="E85" i="87"/>
  <c r="E148" i="87"/>
  <c r="E19" i="75"/>
  <c r="H51" i="79"/>
  <c r="E22" i="75"/>
  <c r="E20" i="75"/>
  <c r="E21" i="75" s="1"/>
  <c r="H50" i="79"/>
  <c r="H48" i="79"/>
  <c r="H54" i="79"/>
  <c r="H49" i="79"/>
  <c r="H52" i="79"/>
  <c r="H53" i="79"/>
  <c r="E22" i="72"/>
  <c r="P68" i="85" l="1" a="1"/>
  <c r="P68" i="85" s="1"/>
  <c r="R70" i="85" s="1"/>
  <c r="P73" i="85" s="1" a="1"/>
  <c r="P73" i="85" s="1"/>
  <c r="E68" i="85" a="1"/>
  <c r="E68" i="85" s="1"/>
  <c r="G70" i="85" s="1"/>
  <c r="E73" i="85" s="1" a="1"/>
  <c r="E73" i="85" s="1"/>
  <c r="S244" i="83" a="1"/>
  <c r="S244" i="83" s="1"/>
  <c r="S297" i="83" s="1" a="1"/>
  <c r="S297" i="83" s="1"/>
  <c r="R240" i="83" a="1"/>
  <c r="R240" i="83" s="1"/>
  <c r="R293" i="83" s="1" a="1"/>
  <c r="R293" i="83" s="1"/>
  <c r="S240" i="83" a="1"/>
  <c r="S240" i="83" s="1"/>
  <c r="S293" i="83" s="1" a="1"/>
  <c r="S293" i="83" s="1"/>
  <c r="U240" i="83" a="1"/>
  <c r="U240" i="83" s="1"/>
  <c r="U293" i="83" s="1" a="1"/>
  <c r="U293" i="83" s="1"/>
  <c r="U244" i="83" a="1"/>
  <c r="U244" i="83" s="1"/>
  <c r="U297" i="83" s="1" a="1"/>
  <c r="U297" i="83" s="1"/>
  <c r="T240" i="83" a="1"/>
  <c r="T240" i="83" s="1"/>
  <c r="T293" i="83" s="1" a="1"/>
  <c r="T293" i="83" s="1"/>
  <c r="R244" i="83" a="1"/>
  <c r="R244" i="83" s="1"/>
  <c r="R297" i="83" s="1" a="1"/>
  <c r="R297" i="83" s="1"/>
  <c r="T244" i="83" a="1"/>
  <c r="T244" i="83" s="1"/>
  <c r="T297" i="83" s="1" a="1"/>
  <c r="T297" i="83" s="1"/>
  <c r="Q240" i="83" a="1"/>
  <c r="Q240" i="83" s="1"/>
  <c r="Q293" i="83" s="1" a="1"/>
  <c r="Q293" i="83" s="1"/>
  <c r="Q244" i="83" a="1"/>
  <c r="Q244" i="83" s="1"/>
  <c r="Q297" i="83" s="1" a="1"/>
  <c r="Q297" i="83" s="1"/>
  <c r="S239" i="83" a="1"/>
  <c r="S239" i="83" s="1"/>
  <c r="S292" i="83" s="1" a="1"/>
  <c r="S292" i="83" s="1"/>
  <c r="R239" i="83" a="1"/>
  <c r="R239" i="83" s="1"/>
  <c r="R292" i="83" s="1" a="1"/>
  <c r="R292" i="83" s="1"/>
  <c r="S243" i="83" a="1"/>
  <c r="S243" i="83" s="1"/>
  <c r="S296" i="83" s="1" a="1"/>
  <c r="S296" i="83" s="1"/>
  <c r="R243" i="83" a="1"/>
  <c r="R243" i="83" s="1"/>
  <c r="R296" i="83" s="1" a="1"/>
  <c r="R296" i="83" s="1"/>
  <c r="U243" i="83" a="1"/>
  <c r="U243" i="83" s="1"/>
  <c r="U296" i="83" s="1" a="1"/>
  <c r="U296" i="83" s="1"/>
  <c r="U239" i="83" a="1"/>
  <c r="U239" i="83" s="1"/>
  <c r="U292" i="83" s="1" a="1"/>
  <c r="U292" i="83" s="1"/>
  <c r="T239" i="83" a="1"/>
  <c r="T239" i="83" s="1"/>
  <c r="T292" i="83" s="1" a="1"/>
  <c r="T292" i="83" s="1"/>
  <c r="T243" i="83" a="1"/>
  <c r="T243" i="83" s="1"/>
  <c r="T296" i="83" s="1" a="1"/>
  <c r="T296" i="83" s="1"/>
  <c r="Q239" i="83" a="1"/>
  <c r="Q239" i="83" s="1"/>
  <c r="Q292" i="83" s="1" a="1"/>
  <c r="Q292" i="83" s="1"/>
  <c r="Q243" i="83" a="1"/>
  <c r="Q243" i="83" s="1"/>
  <c r="Q296" i="83" s="1" a="1"/>
  <c r="Q296" i="83" s="1"/>
  <c r="E78" i="94" a="1"/>
  <c r="E78" i="94" s="1"/>
  <c r="E71" i="94" a="1"/>
  <c r="E71" i="94" s="1"/>
  <c r="E62" i="94" a="1"/>
  <c r="E62" i="94" s="1"/>
  <c r="E69" i="94" a="1"/>
  <c r="E69" i="94" s="1"/>
  <c r="E66" i="94" a="1"/>
  <c r="E66" i="94" s="1"/>
  <c r="E77" i="94" a="1"/>
  <c r="E77" i="94" s="1"/>
  <c r="E70" i="94" a="1"/>
  <c r="E70" i="94" s="1"/>
  <c r="E73" i="94" a="1"/>
  <c r="E73" i="94" s="1"/>
  <c r="E63" i="94" a="1"/>
  <c r="E63" i="94" s="1"/>
  <c r="E76" i="94" a="1"/>
  <c r="E76" i="94" s="1"/>
  <c r="E68" i="94" a="1"/>
  <c r="E68" i="94" s="1"/>
  <c r="E74" i="94" a="1"/>
  <c r="E74" i="94" s="1"/>
  <c r="E60" i="94" a="1"/>
  <c r="E60" i="94" s="1"/>
  <c r="E72" i="94" a="1"/>
  <c r="E72" i="94" s="1"/>
  <c r="E64" i="94" a="1"/>
  <c r="E64" i="94" s="1"/>
  <c r="E67" i="94" a="1"/>
  <c r="E67" i="94" s="1"/>
  <c r="E65" i="94" a="1"/>
  <c r="E65" i="94" s="1"/>
  <c r="E61" i="94" a="1"/>
  <c r="E61" i="94" s="1"/>
  <c r="E80" i="94" s="1"/>
  <c r="G82" i="94" s="1"/>
  <c r="E85" i="94" s="1" a="1"/>
  <c r="E85" i="94" s="1"/>
  <c r="E75" i="94" a="1"/>
  <c r="E75" i="94" s="1"/>
  <c r="U245" i="83" a="1"/>
  <c r="U245" i="83" s="1"/>
  <c r="U298" i="83" s="1" a="1"/>
  <c r="U298" i="83" s="1"/>
  <c r="U241" i="83" a="1"/>
  <c r="U241" i="83" s="1"/>
  <c r="U294" i="83" s="1" a="1"/>
  <c r="U294" i="83" s="1"/>
  <c r="R245" i="83" a="1"/>
  <c r="R245" i="83" s="1"/>
  <c r="R298" i="83" s="1" a="1"/>
  <c r="R298" i="83" s="1"/>
  <c r="T241" i="83" a="1"/>
  <c r="T241" i="83" s="1"/>
  <c r="T294" i="83" s="1" a="1"/>
  <c r="T294" i="83" s="1"/>
  <c r="R241" i="83" a="1"/>
  <c r="R241" i="83" s="1"/>
  <c r="R294" i="83" s="1" a="1"/>
  <c r="R294" i="83" s="1"/>
  <c r="S245" i="83" a="1"/>
  <c r="S245" i="83" s="1"/>
  <c r="S298" i="83" s="1" a="1"/>
  <c r="S298" i="83" s="1"/>
  <c r="T245" i="83" a="1"/>
  <c r="T245" i="83" s="1"/>
  <c r="T298" i="83" s="1" a="1"/>
  <c r="T298" i="83" s="1"/>
  <c r="S241" i="83" a="1"/>
  <c r="S241" i="83" s="1"/>
  <c r="S294" i="83" s="1" a="1"/>
  <c r="S294" i="83" s="1"/>
  <c r="Q241" i="83" a="1"/>
  <c r="Q241" i="83" s="1"/>
  <c r="Q294" i="83" s="1" a="1"/>
  <c r="Q294" i="83" s="1"/>
  <c r="Q245" i="83" a="1"/>
  <c r="Q245" i="83" s="1"/>
  <c r="Q298" i="83" s="1" a="1"/>
  <c r="Q298" i="83" s="1"/>
  <c r="P45" i="89" a="1"/>
  <c r="P45" i="89" s="1"/>
  <c r="R47" i="89" s="1"/>
  <c r="P50" i="89" s="1" a="1"/>
  <c r="P50" i="89" s="1"/>
  <c r="E45" i="89" a="1"/>
  <c r="E45" i="89" s="1"/>
  <c r="G47" i="89" s="1"/>
  <c r="E50" i="89" s="1" a="1"/>
  <c r="E50" i="89" s="1"/>
  <c r="E55" i="122" a="1"/>
  <c r="E55" i="122" s="1"/>
  <c r="J585" i="121" s="1"/>
  <c r="E588" i="121" s="1" a="1"/>
  <c r="E588" i="121" s="1"/>
  <c r="G590" i="121" s="1"/>
  <c r="E593" i="121" s="1" a="1"/>
  <c r="E593" i="121" s="1"/>
  <c r="O55" i="122" a="1"/>
  <c r="O55" i="122" s="1"/>
  <c r="R585" i="121" s="1"/>
  <c r="M588" i="121" s="1" a="1"/>
  <c r="M588" i="121" s="1"/>
  <c r="O590" i="121" s="1"/>
  <c r="M593" i="121" s="1" a="1"/>
  <c r="M593" i="121" s="1"/>
  <c r="F69" i="98" a="1"/>
  <c r="F69" i="98" s="1"/>
  <c r="F62" i="98" a="1"/>
  <c r="F62" i="98" s="1"/>
  <c r="F71" i="98" a="1"/>
  <c r="F71" i="98" s="1"/>
  <c r="F73" i="98" a="1"/>
  <c r="F73" i="98" s="1"/>
  <c r="F68" i="98" a="1"/>
  <c r="F68" i="98" s="1"/>
  <c r="F60" i="98" a="1"/>
  <c r="F60" i="98" s="1"/>
  <c r="F77" i="98" a="1"/>
  <c r="F77" i="98" s="1"/>
  <c r="F66" i="98" a="1"/>
  <c r="F66" i="98" s="1"/>
  <c r="F70" i="98" a="1"/>
  <c r="F70" i="98" s="1"/>
  <c r="F72" i="98" a="1"/>
  <c r="F72" i="98" s="1"/>
  <c r="F64" i="98" a="1"/>
  <c r="F64" i="98" s="1"/>
  <c r="F76" i="98" a="1"/>
  <c r="F76" i="98" s="1"/>
  <c r="F61" i="98" a="1"/>
  <c r="F61" i="98" s="1"/>
  <c r="F75" i="98" a="1"/>
  <c r="F75" i="98" s="1"/>
  <c r="F67" i="98" a="1"/>
  <c r="F67" i="98" s="1"/>
  <c r="F65" i="98" a="1"/>
  <c r="F65" i="98" s="1"/>
  <c r="F74" i="98" a="1"/>
  <c r="F74" i="98" s="1"/>
  <c r="F63" i="98" a="1"/>
  <c r="F63" i="98" s="1"/>
  <c r="F59" i="98" a="1"/>
  <c r="F59" i="98" s="1"/>
  <c r="E79" i="98" s="1"/>
  <c r="G81" i="98" s="1"/>
  <c r="E84" i="98" s="1" a="1"/>
  <c r="E84" i="98" s="1"/>
  <c r="U242" i="83" a="1"/>
  <c r="U242" i="83" s="1"/>
  <c r="U295" i="83" s="1" a="1"/>
  <c r="U295" i="83" s="1"/>
  <c r="U238" i="83" a="1"/>
  <c r="U238" i="83" s="1"/>
  <c r="U291" i="83" s="1" a="1"/>
  <c r="U291" i="83" s="1"/>
  <c r="S242" i="83" a="1"/>
  <c r="S242" i="83" s="1"/>
  <c r="S295" i="83" s="1" a="1"/>
  <c r="S295" i="83" s="1"/>
  <c r="R242" i="83" a="1"/>
  <c r="R242" i="83" s="1"/>
  <c r="R295" i="83" s="1" a="1"/>
  <c r="R295" i="83" s="1"/>
  <c r="T242" i="83" a="1"/>
  <c r="T242" i="83" s="1"/>
  <c r="T295" i="83" s="1" a="1"/>
  <c r="T295" i="83" s="1"/>
  <c r="T238" i="83" a="1"/>
  <c r="T238" i="83" s="1"/>
  <c r="T291" i="83" s="1" a="1"/>
  <c r="T291" i="83" s="1"/>
  <c r="R238" i="83" a="1"/>
  <c r="R238" i="83" s="1"/>
  <c r="R291" i="83" s="1" a="1"/>
  <c r="R291" i="83" s="1"/>
  <c r="S238" i="83" a="1"/>
  <c r="S238" i="83" s="1"/>
  <c r="S291" i="83" s="1" a="1"/>
  <c r="S291" i="83" s="1"/>
  <c r="Q242" i="83" a="1"/>
  <c r="Q242" i="83" s="1"/>
  <c r="Q295" i="83" s="1" a="1"/>
  <c r="Q295" i="83" s="1"/>
  <c r="Q238" i="83" a="1"/>
  <c r="Q238" i="83" s="1"/>
  <c r="Q291" i="83" s="1" a="1"/>
  <c r="Q291" i="83" s="1"/>
  <c r="F138" i="98" a="1"/>
  <c r="F138" i="98" s="1"/>
  <c r="F137" i="98" a="1"/>
  <c r="F137" i="98" s="1"/>
  <c r="F144" i="98" a="1"/>
  <c r="F144" i="98" s="1"/>
  <c r="F143" i="98" a="1"/>
  <c r="F143" i="98" s="1"/>
  <c r="F139" i="98" a="1"/>
  <c r="F139" i="98" s="1"/>
  <c r="F140" i="98" a="1"/>
  <c r="F140" i="98" s="1"/>
  <c r="F142" i="98" a="1"/>
  <c r="F142" i="98" s="1"/>
  <c r="F141" i="98" a="1"/>
  <c r="F141" i="98" s="1"/>
  <c r="F134" i="98" a="1"/>
  <c r="F134" i="98" s="1"/>
  <c r="E146" i="98" s="1"/>
  <c r="G148" i="98" s="1"/>
  <c r="E151" i="98" s="1" a="1"/>
  <c r="E151" i="98" s="1"/>
  <c r="F135" i="98" a="1"/>
  <c r="F135" i="98" s="1"/>
  <c r="F136" i="98" a="1"/>
  <c r="F136" i="98" s="1"/>
  <c r="E24" i="72" a="1"/>
  <c r="E24" i="72" s="1"/>
  <c r="F24" i="72"/>
  <c r="F54" i="80" l="1"/>
  <c r="F55" i="80" s="1"/>
  <c r="F44" i="80"/>
  <c r="I16" i="77"/>
  <c r="I15" i="77"/>
  <c r="I14" i="77"/>
  <c r="I13" i="77"/>
  <c r="I12" i="77"/>
  <c r="I11" i="77"/>
  <c r="I10" i="77"/>
  <c r="I9" i="77"/>
  <c r="I8" i="77"/>
  <c r="I7" i="77"/>
  <c r="G48" i="80" l="1"/>
  <c r="G49" i="80" s="1"/>
  <c r="G46" i="80"/>
  <c r="G47" i="80" s="1"/>
  <c r="G44" i="80"/>
  <c r="G45" i="80" s="1"/>
  <c r="F45" i="80"/>
  <c r="F17" i="13" a="1"/>
  <c r="F17" i="13" s="1"/>
  <c r="I17" i="13" s="1" a="1"/>
  <c r="I17" i="13" s="1"/>
  <c r="E17" i="13" a="1"/>
  <c r="E17" i="13" s="1"/>
  <c r="H17" i="13" s="1" a="1"/>
  <c r="H17" i="13" s="1"/>
  <c r="F16" i="13" a="1"/>
  <c r="F16" i="13" s="1"/>
  <c r="I16" i="13" s="1" a="1"/>
  <c r="I16" i="13" s="1"/>
  <c r="E16" i="13" a="1"/>
  <c r="E16" i="13" s="1"/>
  <c r="H16" i="13" s="1" a="1"/>
  <c r="H16" i="13" s="1"/>
  <c r="F15" i="13" a="1"/>
  <c r="F15" i="13" s="1"/>
  <c r="I15" i="13" s="1" a="1"/>
  <c r="I15" i="13" s="1"/>
  <c r="E15" i="13" a="1"/>
  <c r="E15" i="13" s="1"/>
  <c r="H15" i="13" s="1" a="1"/>
  <c r="H15" i="13" s="1"/>
  <c r="F14" i="13" a="1"/>
  <c r="F14" i="13" s="1"/>
  <c r="I14" i="13" s="1" a="1"/>
  <c r="I14" i="13" s="1"/>
  <c r="E14" i="13" a="1"/>
  <c r="E14" i="13" s="1"/>
  <c r="H14" i="13" s="1" a="1"/>
  <c r="H14" i="13" s="1"/>
  <c r="F13" i="13" a="1"/>
  <c r="F13" i="13" s="1"/>
  <c r="I13" i="13" s="1" a="1"/>
  <c r="I13" i="13" s="1"/>
  <c r="E13" i="13" a="1"/>
  <c r="E13" i="13" s="1"/>
  <c r="H13" i="13" s="1" a="1"/>
  <c r="H13" i="13" s="1"/>
  <c r="F12" i="13" a="1"/>
  <c r="F12" i="13" s="1"/>
  <c r="I12" i="13" s="1" a="1"/>
  <c r="I12" i="13" s="1"/>
  <c r="E12" i="13" a="1"/>
  <c r="E12" i="13" s="1"/>
  <c r="H12" i="13" s="1" a="1"/>
  <c r="H12" i="13" s="1"/>
  <c r="F10" i="13" l="1" a="1"/>
  <c r="F10" i="13" s="1"/>
  <c r="I10" i="13" s="1" a="1"/>
  <c r="I10" i="13" s="1"/>
  <c r="E10" i="13" a="1"/>
  <c r="E10" i="13" s="1"/>
  <c r="H10" i="13" s="1" a="1"/>
  <c r="H10" i="13" s="1"/>
  <c r="E10" i="76" l="1" a="1"/>
  <c r="E10" i="76" s="1"/>
  <c r="E9" i="76" a="1"/>
  <c r="E9" i="76" s="1"/>
  <c r="E33" i="13" l="1" a="1"/>
  <c r="E33" i="13" s="1"/>
  <c r="E32" i="13" a="1"/>
  <c r="E32" i="13" s="1"/>
  <c r="H32" i="13" s="1"/>
  <c r="E31" i="13" a="1"/>
  <c r="E31" i="13" s="1"/>
  <c r="H31" i="13" s="1" a="1"/>
  <c r="H31" i="13" s="1"/>
  <c r="E30" i="13" a="1"/>
  <c r="E30" i="13" s="1"/>
  <c r="E29" i="13" a="1"/>
  <c r="E29" i="13" s="1"/>
  <c r="H29" i="13" s="1"/>
  <c r="E28" i="13" a="1"/>
  <c r="E28" i="13" s="1"/>
  <c r="E27" i="13" a="1"/>
  <c r="E27" i="13" s="1"/>
  <c r="H27" i="13" s="1" a="1"/>
  <c r="H27" i="13" s="1"/>
  <c r="E26" i="13" a="1"/>
  <c r="E26" i="13" s="1"/>
  <c r="H26" i="13" s="1"/>
  <c r="F25" i="13" a="1"/>
  <c r="F25" i="13" s="1"/>
  <c r="I25" i="13" s="1" a="1"/>
  <c r="I25" i="13" s="1"/>
  <c r="E25" i="13" a="1"/>
  <c r="E25" i="13" s="1"/>
  <c r="H25" i="13" s="1" a="1"/>
  <c r="H25" i="13" s="1"/>
  <c r="F24" i="13" a="1"/>
  <c r="F24" i="13" s="1"/>
  <c r="I24" i="13" s="1" a="1"/>
  <c r="I24" i="13" s="1"/>
  <c r="E24" i="13" a="1"/>
  <c r="E24" i="13" s="1"/>
  <c r="H24" i="13" s="1" a="1"/>
  <c r="H24" i="13" s="1"/>
  <c r="E23" i="13" a="1"/>
  <c r="E23" i="13" s="1"/>
  <c r="H23" i="13" s="1" a="1"/>
  <c r="H23" i="13" s="1"/>
  <c r="E22" i="13" a="1"/>
  <c r="E22" i="13" s="1"/>
  <c r="H22" i="13" s="1" a="1"/>
  <c r="H22" i="13" s="1"/>
  <c r="E21" i="13" a="1"/>
  <c r="E21" i="13" s="1"/>
  <c r="E20" i="13" a="1"/>
  <c r="E20" i="13" s="1"/>
  <c r="H20" i="13" s="1" a="1"/>
  <c r="H20" i="13" s="1"/>
  <c r="E19" i="13" a="1"/>
  <c r="E19" i="13" s="1"/>
  <c r="F19" i="13" s="1"/>
  <c r="I19" i="13" s="1"/>
  <c r="F18" i="13" a="1"/>
  <c r="F18" i="13" s="1"/>
  <c r="I18" i="13" s="1" a="1"/>
  <c r="I18" i="13" s="1"/>
  <c r="E18" i="13" a="1"/>
  <c r="E18" i="13" s="1"/>
  <c r="H18" i="13" s="1" a="1"/>
  <c r="H18" i="13" s="1"/>
  <c r="E13" i="72"/>
  <c r="D5" i="13" s="1"/>
  <c r="E18" i="75"/>
  <c r="E20" i="72"/>
  <c r="F30" i="13" l="1"/>
  <c r="I30" i="13" s="1" a="1"/>
  <c r="I30" i="13" s="1"/>
  <c r="H30" i="13" a="1"/>
  <c r="H30" i="13" s="1"/>
  <c r="F28" i="13"/>
  <c r="I28" i="13" s="1" a="1"/>
  <c r="I28" i="13" s="1"/>
  <c r="H28" i="13" a="1"/>
  <c r="H28" i="13" s="1"/>
  <c r="F26" i="13"/>
  <c r="I26" i="13" s="1"/>
  <c r="F22" i="13"/>
  <c r="I22" i="13" s="1" a="1"/>
  <c r="I22" i="13" s="1"/>
  <c r="F32" i="13"/>
  <c r="I32" i="13" s="1"/>
  <c r="F27" i="13"/>
  <c r="I27" i="13" s="1" a="1"/>
  <c r="I27" i="13" s="1"/>
  <c r="H33" i="13"/>
  <c r="F33" i="13"/>
  <c r="I33" i="13" s="1"/>
  <c r="F21" i="13"/>
  <c r="I21" i="13" s="1"/>
  <c r="H21" i="13"/>
  <c r="F23" i="13"/>
  <c r="I23" i="13" s="1" a="1"/>
  <c r="I23" i="13" s="1"/>
  <c r="H19" i="13"/>
  <c r="F29" i="13"/>
  <c r="I29" i="13" s="1"/>
  <c r="F31" i="13"/>
  <c r="I31" i="13" s="1" a="1"/>
  <c r="I31" i="13" s="1"/>
  <c r="F20" i="13"/>
  <c r="I20" i="13" s="1" a="1"/>
  <c r="I20" i="13" s="1"/>
  <c r="R302" i="83" l="1"/>
  <c r="P305" i="83" s="1" a="1"/>
  <c r="P305" i="83" s="1"/>
  <c r="G302" i="83"/>
  <c r="E305" i="83" s="1" a="1"/>
  <c r="E305" i="83" s="1"/>
  <c r="E11" i="13" l="1" a="1"/>
  <c r="E11" i="13" s="1"/>
  <c r="H11" i="13" s="1" a="1"/>
  <c r="H11" i="13" s="1"/>
  <c r="H34" i="13" s="1"/>
  <c r="H41" i="13" s="1"/>
  <c r="E73" i="13" s="1"/>
  <c r="F11" i="13" a="1"/>
  <c r="F11" i="13" s="1"/>
  <c r="I11" i="13" s="1" a="1"/>
  <c r="I11" i="13" s="1"/>
  <c r="I34" i="13" s="1"/>
  <c r="I41" i="13" s="1"/>
  <c r="F73" i="13" s="1"/>
  <c r="F74" i="13" l="1"/>
  <c r="F37" i="80" s="1"/>
  <c r="F53" i="72"/>
  <c r="F36" i="80"/>
  <c r="E36" i="80"/>
  <c r="E53" i="72"/>
  <c r="E74" i="13"/>
  <c r="E37" i="80" s="1"/>
  <c r="H49" i="80" l="1"/>
  <c r="H59" i="80"/>
  <c r="H57" i="80"/>
  <c r="H55" i="80"/>
  <c r="H45" i="80"/>
  <c r="H47" i="80"/>
  <c r="E57" i="72"/>
  <c r="E77" i="72"/>
  <c r="E81" i="72" s="1"/>
  <c r="H56" i="80"/>
  <c r="H48" i="80"/>
  <c r="H54" i="80"/>
  <c r="H44" i="80"/>
  <c r="H58" i="80"/>
  <c r="H46" i="80"/>
  <c r="I46" i="80"/>
  <c r="I44" i="80"/>
  <c r="I54" i="80"/>
  <c r="I56" i="80"/>
  <c r="I58" i="80"/>
  <c r="I48" i="80"/>
  <c r="F77" i="72"/>
  <c r="F81" i="72" s="1"/>
  <c r="F57" i="72"/>
  <c r="I55" i="80"/>
  <c r="I57" i="80"/>
  <c r="I45" i="80"/>
  <c r="I49" i="80"/>
  <c r="I59" i="80"/>
  <c r="I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<sst xmlns="http://schemas.openxmlformats.org/spreadsheetml/2006/main" count="4491" uniqueCount="1372">
  <si>
    <t>INPUTS</t>
  </si>
  <si>
    <t>APPENDICES</t>
  </si>
  <si>
    <t>CALCULATIONS</t>
  </si>
  <si>
    <t>Scope 1 source</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</si>
  <si>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</si>
  <si>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</si>
  <si>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</si>
  <si>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</si>
  <si>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</si>
  <si>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</si>
  <si>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</si>
  <si>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</si>
  <si>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</si>
  <si>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</si>
  <si>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</si>
  <si>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</si>
  <si>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</si>
  <si>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</si>
  <si>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Liveweight sold</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</si>
  <si>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</si>
  <si>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</si>
  <si>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</si>
  <si>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</si>
  <si>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</si>
  <si>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</si>
  <si>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</si>
  <si>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</si>
  <si>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</si>
  <si>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</si>
  <si>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</si>
  <si>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</si>
  <si>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</si>
  <si>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</si>
  <si>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</si>
  <si>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</si>
  <si>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</si>
  <si>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</si>
  <si>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</si>
  <si>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</si>
  <si>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</si>
  <si>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</si>
  <si>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</si>
  <si>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</si>
  <si>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</si>
  <si>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</si>
  <si>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</si>
  <si>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</si>
  <si>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</si>
  <si>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</si>
  <si>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</si>
  <si>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</si>
  <si>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</si>
  <si>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</si>
  <si>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</si>
  <si>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</si>
  <si>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</si>
  <si>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</si>
  <si>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</si>
  <si>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</si>
  <si>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</si>
  <si>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</si>
  <si>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</si>
  <si>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</si>
  <si>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</si>
  <si>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</si>
  <si>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</si>
  <si>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</si>
  <si>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</si>
  <si>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</si>
  <si>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</si>
  <si>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</si>
  <si>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</si>
  <si>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</si>
  <si>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</si>
  <si>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</si>
  <si>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</si>
  <si>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</si>
  <si>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</si>
  <si>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</si>
  <si>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</si>
  <si>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</si>
  <si>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</si>
  <si>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</si>
  <si>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</si>
  <si>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</si>
  <si>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</si>
  <si>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</si>
  <si>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</si>
  <si>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</si>
  <si>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</si>
  <si>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</si>
  <si>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</si>
  <si>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</si>
  <si>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</si>
  <si>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</si>
  <si>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</si>
  <si>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</si>
  <si>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</si>
  <si>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</si>
  <si>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</si>
  <si>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</si>
  <si>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</si>
  <si>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</si>
  <si>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</si>
  <si>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</si>
  <si>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</si>
  <si>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</si>
  <si>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</si>
  <si>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</si>
  <si>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</si>
  <si>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</si>
  <si>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</si>
  <si>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</si>
  <si>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</si>
  <si>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</si>
  <si>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</si>
  <si>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</si>
  <si>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</si>
  <si>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</si>
  <si>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t co2e/t liveweight sold</t>
  </si>
  <si>
    <t>Emissions intensity (Method 1)</t>
  </si>
  <si>
    <t>Emissions intensity (Method 2)</t>
  </si>
  <si>
    <t>Product type</t>
  </si>
  <si>
    <t>Main product</t>
  </si>
  <si>
    <t>Co-product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</si>
  <si>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</si>
  <si>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</si>
  <si>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</si>
  <si>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</si>
  <si>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</si>
  <si>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</si>
  <si>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</si>
  <si>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</si>
  <si>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</si>
  <si>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</si>
  <si>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</si>
  <si>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</si>
  <si>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</si>
  <si>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</si>
  <si>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</si>
  <si>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</si>
  <si>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</si>
  <si>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</si>
  <si>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</si>
  <si>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</si>
  <si>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</si>
  <si>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</si>
  <si>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</si>
  <si>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</si>
  <si>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</si>
  <si>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Percentage of income from liveweight sold</t>
  </si>
  <si>
    <t>Percentage of income from manure sold</t>
  </si>
  <si>
    <t>Product emissions - Mass</t>
  </si>
  <si>
    <t>Product emissions - Economic</t>
  </si>
  <si>
    <t>Mass emissions assignment</t>
  </si>
  <si>
    <t>Economic emissions assignment</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</si>
  <si>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</si>
  <si>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</si>
  <si>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</si>
  <si>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</si>
  <si>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</si>
  <si>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</si>
  <si>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</si>
  <si>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</si>
  <si>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</si>
  <si>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</si>
  <si>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3.3.1.1-2 Enteric methane</t>
  </si>
  <si>
    <t>4.3.1.1-2 Manure methane</t>
  </si>
  <si>
    <t>4.3.1.3-4 Manure direct N2O</t>
  </si>
  <si>
    <t>4.3.1.5 Manure atmospheric deposition</t>
  </si>
  <si>
    <t>4.3.1.6-7 Manure leaching and runoff</t>
  </si>
  <si>
    <t>4.3.1.9 Soil direct N2O</t>
  </si>
  <si>
    <t>4.3.1.10-11 Soil atmospheric deposition</t>
  </si>
  <si>
    <t>4.3.1.12-13 Soil leaching and runoff</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</si>
  <si>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</si>
  <si>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</si>
  <si>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</si>
  <si>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</si>
  <si>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</si>
  <si>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</si>
  <si>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</si>
  <si>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</si>
  <si>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Milk produced</t>
  </si>
  <si>
    <t>Milk produced unit</t>
  </si>
  <si>
    <t>Percentage of income from milk sold</t>
  </si>
  <si>
    <t>Manure sold</t>
  </si>
  <si>
    <t>Milk sold - excluding removals</t>
  </si>
  <si>
    <t>Milk sold - net emissions</t>
  </si>
  <si>
    <t>Input - Data quality</t>
  </si>
  <si>
    <t>Input</t>
  </si>
  <si>
    <t>Temporal representativeness</t>
  </si>
  <si>
    <t>Spatial resolution</t>
  </si>
  <si>
    <t>Sample size</t>
  </si>
  <si>
    <t>Notes</t>
  </si>
  <si>
    <t>Evidence files</t>
  </si>
  <si>
    <t>Score</t>
  </si>
  <si>
    <t>Input name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</si>
  <si>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</si>
  <si>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</si>
  <si>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</si>
  <si>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</si>
  <si>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</si>
  <si>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</si>
  <si>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</si>
  <si>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</si>
  <si>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</si>
  <si>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</si>
  <si>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</si>
  <si>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</si>
  <si>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</si>
  <si>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</si>
  <si>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</si>
  <si>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</si>
  <si>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</si>
  <si>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</si>
  <si>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</si>
  <si>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</si>
  <si>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</si>
  <si>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</si>
  <si>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</si>
  <si>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</si>
  <si>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</si>
  <si>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</si>
  <si>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</si>
  <si>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</si>
  <si>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</si>
  <si>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</si>
  <si>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</si>
  <si>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</si>
  <si>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</si>
  <si>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</si>
  <si>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</si>
  <si>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</si>
  <si>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</si>
  <si>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</si>
  <si>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</si>
  <si>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</si>
  <si>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</si>
  <si>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</si>
  <si>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</si>
  <si>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</si>
  <si>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</si>
  <si>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</si>
  <si>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</si>
  <si>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Manure used as fertiliser on own farm</t>
  </si>
  <si>
    <t>Results - Activity period</t>
  </si>
  <si>
    <t>Scope 1</t>
  </si>
  <si>
    <t>Total scope 1</t>
  </si>
  <si>
    <t>Scope 2</t>
  </si>
  <si>
    <t>Scope 2 source</t>
  </si>
  <si>
    <t>Total scope 2</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</si>
  <si>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</si>
  <si>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</si>
  <si>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</si>
  <si>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</si>
  <si>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</si>
  <si>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</si>
  <si>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</si>
  <si>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</si>
  <si>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</si>
  <si>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</si>
  <si>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</si>
  <si>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</si>
  <si>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</si>
  <si>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</si>
  <si>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</si>
  <si>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</si>
  <si>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</si>
  <si>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</si>
  <si>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</si>
  <si>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</si>
  <si>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</si>
  <si>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</si>
  <si>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</si>
  <si>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</si>
  <si>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</si>
  <si>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</si>
  <si>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</si>
  <si>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</si>
  <si>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</si>
  <si>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Results - Product emissions intensity</t>
  </si>
  <si>
    <t>Emissions for production cycle excluding removals</t>
  </si>
  <si>
    <t>Net emissions for production cycle</t>
  </si>
  <si>
    <t>t co2e/t grain sold</t>
  </si>
  <si>
    <t>Residual product</t>
  </si>
  <si>
    <t>N/A</t>
  </si>
  <si>
    <t>t co2e/t baled hay/silage</t>
  </si>
  <si>
    <t>Emissions intestity (Method 1)</t>
  </si>
  <si>
    <t>Emissions intestity (Method 2)</t>
  </si>
  <si>
    <t>t co2e/t milk sold</t>
  </si>
  <si>
    <t>t co2e/t manure sold</t>
  </si>
  <si>
    <t>Input -Dairy</t>
  </si>
  <si>
    <t>Herd movement</t>
  </si>
  <si>
    <t>Breed</t>
  </si>
  <si>
    <t>Medium Friesian</t>
  </si>
  <si>
    <t>Milking cows</t>
  </si>
  <si>
    <t>Heifers &gt; 1 year</t>
  </si>
  <si>
    <t>Heifers &lt; 1 year</t>
  </si>
  <si>
    <t>Bulls &gt; 1 year</t>
  </si>
  <si>
    <t>Bulls &lt; 1 year</t>
  </si>
  <si>
    <t>head</t>
  </si>
  <si>
    <t>Liveweight</t>
  </si>
  <si>
    <t>Method 1 default values (Do not edit)</t>
  </si>
  <si>
    <t>Average liveweight</t>
  </si>
  <si>
    <t>kg/head</t>
  </si>
  <si>
    <t>Average liveweight gain</t>
  </si>
  <si>
    <t>kg/head/day</t>
  </si>
  <si>
    <t>Method 2 custom values (Edit if known)</t>
  </si>
  <si>
    <t>Duration of stay</t>
  </si>
  <si>
    <t>Diet</t>
  </si>
  <si>
    <t>Dry matter digestibility</t>
  </si>
  <si>
    <t>Fraction</t>
  </si>
  <si>
    <t>Crude protein</t>
  </si>
  <si>
    <t>Milk production</t>
  </si>
  <si>
    <t>Milk production unit</t>
  </si>
  <si>
    <t>Litres of milk</t>
  </si>
  <si>
    <t>Average daily milk production</t>
  </si>
  <si>
    <t>For milk solids only:</t>
  </si>
  <si>
    <t>Method 1 (don't edit)</t>
  </si>
  <si>
    <t>Method 2 (edit if known)</t>
  </si>
  <si>
    <t>Fat content in fat and protein corrected milk</t>
  </si>
  <si>
    <t>Protein content in fat and protein corrected milk</t>
  </si>
  <si>
    <t>Production systems</t>
  </si>
  <si>
    <t>Time spent in production systems</t>
  </si>
  <si>
    <t>Production system template</t>
  </si>
  <si>
    <t>System 3: Pasture-grazed 3-9 months/year</t>
  </si>
  <si>
    <t>Percent</t>
  </si>
  <si>
    <t>Milking shed</t>
  </si>
  <si>
    <t>Feed pad</t>
  </si>
  <si>
    <t>Manure management systems</t>
  </si>
  <si>
    <t>Stage 1 MMS</t>
  </si>
  <si>
    <t>►</t>
  </si>
  <si>
    <t>Destination after stage 2 MMS (Percent)</t>
  </si>
  <si>
    <t>Sold</t>
  </si>
  <si>
    <t>Fert for own farm (eg crop)</t>
  </si>
  <si>
    <t>Direct application to soil</t>
  </si>
  <si>
    <t>Yes</t>
  </si>
  <si>
    <t>Solid storage (after solid separation) - Method 1</t>
  </si>
  <si>
    <t>Solid storage (after solid separation) - Method 2</t>
  </si>
  <si>
    <t>No</t>
  </si>
  <si>
    <t>Where deposited on farm soils as waste, what is the closest match?</t>
  </si>
  <si>
    <t>Sprinkler irrigation</t>
  </si>
  <si>
    <t>4.3.1.1-2 Manure Methane</t>
  </si>
  <si>
    <t>Function name</t>
  </si>
  <si>
    <t>Variable</t>
  </si>
  <si>
    <t>M1_Table_DMD_j</t>
  </si>
  <si>
    <t>M2_Table_DMD_j</t>
  </si>
  <si>
    <t>Dry matter digestibility (Method 1)</t>
  </si>
  <si>
    <t>Dry matter digestibility (Method 2)</t>
  </si>
  <si>
    <t>fraction</t>
  </si>
  <si>
    <t>M1_Table_qm_j</t>
  </si>
  <si>
    <t>M2_Table_qm_j</t>
  </si>
  <si>
    <t>Metabolisability of diet (Method 1)</t>
  </si>
  <si>
    <t>Metabolisability of diet (Method 2)</t>
  </si>
  <si>
    <t>M1_Table_MS_j</t>
  </si>
  <si>
    <t>Milk solids production (Method 1)</t>
  </si>
  <si>
    <t>M1_Table_MP_j_from_solids</t>
  </si>
  <si>
    <t>M2_Table_MP_j_from_solids</t>
  </si>
  <si>
    <t>Milk production from milk solids (Method 1)</t>
  </si>
  <si>
    <t>Milk production from milk solids (Method 2)</t>
  </si>
  <si>
    <t>L/head/day</t>
  </si>
  <si>
    <t>Table_MP_j</t>
  </si>
  <si>
    <t>M1_Table_MI_j</t>
  </si>
  <si>
    <t>M2_Table_MI_j</t>
  </si>
  <si>
    <t>Additional intake for milk production (Method 1)</t>
  </si>
  <si>
    <t>Additional intake for milk production (Method 2)</t>
  </si>
  <si>
    <t>M1_Table_W_j</t>
  </si>
  <si>
    <t>M2_Table_W_j</t>
  </si>
  <si>
    <t>Liveweight for each animal class j (Method 1)</t>
  </si>
  <si>
    <t>Liveweight for each animal class j (Method 2)</t>
  </si>
  <si>
    <t>M1_Table_LWG_j</t>
  </si>
  <si>
    <t>M2_Table_LWG_j</t>
  </si>
  <si>
    <t>Liveweight gain for each animal class j (Method 1)</t>
  </si>
  <si>
    <t>Liveweight gain for each animal class j (Method 2)</t>
  </si>
  <si>
    <t>Table_MR_j</t>
  </si>
  <si>
    <t>Increase in metabolic rate when producing milk</t>
  </si>
  <si>
    <t>M1_Table_I_j</t>
  </si>
  <si>
    <t>M2_Table_I_j</t>
  </si>
  <si>
    <t>Feed intake (Method 1)</t>
  </si>
  <si>
    <t>Feed intake (Method 2)</t>
  </si>
  <si>
    <t>M1_Table_VS_j</t>
  </si>
  <si>
    <t>M2_Table_VS_j</t>
  </si>
  <si>
    <t>Volatile solids for weaned cattle (Method 1)</t>
  </si>
  <si>
    <t>Volatile solids for weaned cattle (Method 2)</t>
  </si>
  <si>
    <t>M1_Table_MMS_j_m</t>
  </si>
  <si>
    <t>M2_Table_MMS_j_m</t>
  </si>
  <si>
    <t>Fraction of manure in each MMS prior to solid separation (Method 1)</t>
  </si>
  <si>
    <t>Fraction of manure in each MMS prior to solid separation (Method 2)</t>
  </si>
  <si>
    <t>MMS</t>
  </si>
  <si>
    <t>M1_Table_SS_m</t>
  </si>
  <si>
    <t>M2_Table_SS_m</t>
  </si>
  <si>
    <t>Fraction volatile solids separated to solid storage (Method 1)</t>
  </si>
  <si>
    <t>Fraction volatile solids separated to solid storage (Method 2)</t>
  </si>
  <si>
    <t>SS</t>
  </si>
  <si>
    <t>M1_Table_FVS_j_m</t>
  </si>
  <si>
    <t>Fraction volatile solids to MMS other than solid storage (Method 1)</t>
  </si>
  <si>
    <t>Fraction volatile solids to MMS other than solid storage (Method 2)</t>
  </si>
  <si>
    <t>M1_Table_MMS_j_m-4</t>
  </si>
  <si>
    <t>M2_Table_MMS_j_m-4</t>
  </si>
  <si>
    <t>Fraction volatile solids to in solid storage before transfer (Method 1)</t>
  </si>
  <si>
    <t>Fraction volatile solids to in solid storage before transfer (Method 2)</t>
  </si>
  <si>
    <t>M1_Table_FVS_j_m-4</t>
  </si>
  <si>
    <t>M2_Table_FVS_j_m-4</t>
  </si>
  <si>
    <t>Fraction volatile solids to in solid storage (Method 1)</t>
  </si>
  <si>
    <t>Fraction volatile solids to in solid storage (Method 2)</t>
  </si>
  <si>
    <t>M1_Table_MCF_i_m</t>
  </si>
  <si>
    <t>M2_Table_MCF_i_m</t>
  </si>
  <si>
    <t>Methane conversion factor for state (Method 1)</t>
  </si>
  <si>
    <t>Methane conversion factor for state (Method 2)</t>
  </si>
  <si>
    <r>
      <t>MCF</t>
    </r>
    <r>
      <rPr>
        <b/>
        <vertAlign val="subscript"/>
        <sz val="11"/>
        <color rgb="FF183C1B"/>
        <rFont val="Times New Roman"/>
        <family val="1"/>
      </rPr>
      <t>im</t>
    </r>
  </si>
  <si>
    <t>NOTE: 'Pasture range and paddock' MCF is state-based</t>
  </si>
  <si>
    <t>NOTE: 'Sump and dispersal' uses 'Daily spread' MCFs</t>
  </si>
  <si>
    <t>NOTE: Drains to paddock uses 'Liquid slurry' MCFs</t>
  </si>
  <si>
    <t>M1_M_j_m</t>
  </si>
  <si>
    <t>M2_M_j_m</t>
  </si>
  <si>
    <t>Methane from manure production of weaned cattle (Method 1)</t>
  </si>
  <si>
    <t>Methane from manure production of weaned cattle (Method 2)</t>
  </si>
  <si>
    <t>Table_N_j</t>
  </si>
  <si>
    <t>Number of dairy cattle in all classes</t>
  </si>
  <si>
    <t>Head</t>
  </si>
  <si>
    <t>M1_Table_D_j</t>
  </si>
  <si>
    <t>M2_Table_D_j</t>
  </si>
  <si>
    <t>Duration of stay of weaned dairy cattle in all classes (Method 1)</t>
  </si>
  <si>
    <t>Duration of stay of weaned dairy cattle in all classes (Method 2)</t>
  </si>
  <si>
    <t>Table_MPW_manure_j-3-5</t>
  </si>
  <si>
    <t>Methane production of pre-weaned cattle</t>
  </si>
  <si>
    <t>CH4/head/day</t>
  </si>
  <si>
    <t>M1_Table_DPW_j</t>
  </si>
  <si>
    <t>Duration of stay of of pre-weaned dairy cattle in all classes (Method 1)</t>
  </si>
  <si>
    <t>M1_Table_E_CH4</t>
  </si>
  <si>
    <t>Methane production from manure management (Method 1)</t>
  </si>
  <si>
    <t>Methane production from manure management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</si>
  <si>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</si>
  <si>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</si>
  <si>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</si>
  <si>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</si>
  <si>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4.3.1.3-4 Manure Direct N2O</t>
  </si>
  <si>
    <t>Table_WR_j</t>
  </si>
  <si>
    <t>Reference weight for each animal class</t>
  </si>
  <si>
    <t>M1_Table_Z_j</t>
  </si>
  <si>
    <t>Relative size for each animal class (Method 1)</t>
  </si>
  <si>
    <t>Relative size for each animal class (Method 2)</t>
  </si>
  <si>
    <t>M1_Table_L_j</t>
  </si>
  <si>
    <t>M2_Table_L_j</t>
  </si>
  <si>
    <t>Intake relative to maintenance (Method 1)</t>
  </si>
  <si>
    <t>Intake relative to maintenance (Method 2)</t>
  </si>
  <si>
    <t>M1_Table_NR_j</t>
  </si>
  <si>
    <t>M2_Table_NR_j</t>
  </si>
  <si>
    <t>Nitrogen retained in the body for each animal class j (Method 1)</t>
  </si>
  <si>
    <t>Nitrogen retained in the body for each animal class j (Method 2)</t>
  </si>
  <si>
    <t>M1_Table_CP_j</t>
  </si>
  <si>
    <t>M2_Table_CP_j</t>
  </si>
  <si>
    <t>Crude protein content of feed intake for each animal class j (Method 1)</t>
  </si>
  <si>
    <t>Crude protein content of feed intake for each animal class j (Method 2)</t>
  </si>
  <si>
    <t>M1_Table_CPI_j</t>
  </si>
  <si>
    <t>M2_Table_CPI_j</t>
  </si>
  <si>
    <t>Crude protein intake for each animal class j (Method 1)</t>
  </si>
  <si>
    <t>Crude protein intake for each animal class j (Method 2)</t>
  </si>
  <si>
    <t>M1_Table_NE_j</t>
  </si>
  <si>
    <t>M2_Table_NE_j</t>
  </si>
  <si>
    <t>Nitrogen excreted for each animal class j (Method 1)</t>
  </si>
  <si>
    <t>Nitrogen excreted for each animal class j (Method 2)</t>
  </si>
  <si>
    <t>M1_Table_D_j-1-2-4</t>
  </si>
  <si>
    <t>M2_Table_D_j-1-2-4</t>
  </si>
  <si>
    <t>Duration of stay of cattle &gt; 1 year (Method 1)</t>
  </si>
  <si>
    <t>Duration of stay of cattle &gt; 1 year (Method 2)</t>
  </si>
  <si>
    <t>M1_Table_AE_j-1-2-4</t>
  </si>
  <si>
    <t>M2_Table_AE_j-1-2-4</t>
  </si>
  <si>
    <t>Total annual nitrogen excreted cattle &gt; 1 year old (Method 1)</t>
  </si>
  <si>
    <t>Total annual nitrogen excreted cattle &gt; 1 year old (Method 2)</t>
  </si>
  <si>
    <t>Table_NPW_j-3-5</t>
  </si>
  <si>
    <t>Nitrogen excretion of pre-weaned cattle</t>
  </si>
  <si>
    <t>M1_Table_D_j-3-5</t>
  </si>
  <si>
    <t>Duration of stay of weaned cattle &lt; 1 year (Method 1)</t>
  </si>
  <si>
    <t>Duration of stay of weaned cattle &lt; 1 year (Method 2)</t>
  </si>
  <si>
    <t>Duration of stay of of pre-weaned dairy cattle in all classes (Method 2)</t>
  </si>
  <si>
    <t>M1_Table_AE_j</t>
  </si>
  <si>
    <t>Total annual nitrogen excreted cattle &lt; 1 year old (Method 1)</t>
  </si>
  <si>
    <t>Total annual nitrogen excreted cattle &lt; 1 year old (Method 2)</t>
  </si>
  <si>
    <t>Fraction of manure sent to each MMS (Method 1)</t>
  </si>
  <si>
    <t>Fraction of manure sent to each MMS (Method 2)</t>
  </si>
  <si>
    <t>M1_Table_MN_j_m</t>
  </si>
  <si>
    <t>M2_Table_MN_j_m</t>
  </si>
  <si>
    <t>Total nitrogen in each MMS (Method 1)</t>
  </si>
  <si>
    <t>Total nitrogen in each MMS (Method 2)</t>
  </si>
  <si>
    <t>Table_EF_m</t>
  </si>
  <si>
    <t>Nitrous oxide EF for each MMS</t>
  </si>
  <si>
    <r>
      <t>EF</t>
    </r>
    <r>
      <rPr>
        <b/>
        <vertAlign val="subscript"/>
        <sz val="11"/>
        <color rgb="FF183C1B"/>
        <rFont val="Times New Roman"/>
        <family val="1"/>
      </rPr>
      <t>m</t>
    </r>
  </si>
  <si>
    <t>M1_Table_E_N2O_dir</t>
  </si>
  <si>
    <t>M2_Table_E_N2O_dir</t>
  </si>
  <si>
    <t>Total annual direct N2O emissions from each MMS (Method 1)</t>
  </si>
  <si>
    <t>Total annual direct N2O emissions from each MMS (Method 2)</t>
  </si>
  <si>
    <r>
      <t>E</t>
    </r>
    <r>
      <rPr>
        <b/>
        <vertAlign val="subscript"/>
        <sz val="16"/>
        <color theme="1" tint="0.24994659260841701"/>
        <rFont val="Times New Roman"/>
        <family val="1"/>
      </rPr>
      <t>N2O,dir</t>
    </r>
  </si>
  <si>
    <r>
      <t>E</t>
    </r>
    <r>
      <rPr>
        <vertAlign val="subscript"/>
        <sz val="12"/>
        <color theme="1" tint="0.24994659260841701"/>
        <rFont val="Times New Roman"/>
        <family val="1"/>
      </rPr>
      <t>CO2e</t>
    </r>
  </si>
  <si>
    <t>4.3.1.5 Manure Atmospheric Deposition</t>
  </si>
  <si>
    <t>Table_FracGASM_m</t>
  </si>
  <si>
    <t>Fraction N volatilised from each MS</t>
  </si>
  <si>
    <r>
      <t>FracGASM</t>
    </r>
    <r>
      <rPr>
        <b/>
        <vertAlign val="subscript"/>
        <sz val="11"/>
        <color rgb="FF183C1B"/>
        <rFont val="Times New Roman"/>
        <family val="1"/>
      </rPr>
      <t>m</t>
    </r>
  </si>
  <si>
    <t>M1_Table_MN_atmos</t>
  </si>
  <si>
    <t>M2_Table_MN_atmos</t>
  </si>
  <si>
    <t>Total nitrogen volatilised from each MMS (Method 1)</t>
  </si>
  <si>
    <t>Total nitrogen volatilised from each MMS (Method 2)</t>
  </si>
  <si>
    <r>
      <t>MN</t>
    </r>
    <r>
      <rPr>
        <b/>
        <vertAlign val="subscript"/>
        <sz val="12"/>
        <color theme="1" tint="0.24994659260841701"/>
        <rFont val="Times New Roman"/>
        <family val="1"/>
      </rPr>
      <t>ATMOS</t>
    </r>
  </si>
  <si>
    <t>`</t>
  </si>
  <si>
    <r>
      <t>E</t>
    </r>
    <r>
      <rPr>
        <b/>
        <vertAlign val="subscript"/>
        <sz val="16"/>
        <color theme="1" tint="0.24994659260841701"/>
        <rFont val="Times New Roman"/>
        <family val="1"/>
      </rPr>
      <t>N2O,MMS,ad</t>
    </r>
  </si>
  <si>
    <t>4.1.1.6-7 Manure leaching and runoff</t>
  </si>
  <si>
    <t>M1_Table_MN_j_m-4</t>
  </si>
  <si>
    <t>M2_Table_MN_j_m-4</t>
  </si>
  <si>
    <t>Total nitrogen in solid storage MMS (Method 1)</t>
  </si>
  <si>
    <t>Total nitrogen in solid storage MMS (Method 2)</t>
  </si>
  <si>
    <t>M1_Table_MN_leach_j_m-4</t>
  </si>
  <si>
    <t>M2_Table_MN_leach_j_m-4</t>
  </si>
  <si>
    <t>Mass of N lost to leaching and runoff from solid storage (Method 1)</t>
  </si>
  <si>
    <t>Mass of N lost to leaching and runoff from solid storage (Method 2)</t>
  </si>
  <si>
    <t>M1_Table_EF_N2O_leach</t>
  </si>
  <si>
    <t>M2_Table_EF_N2O_leach</t>
  </si>
  <si>
    <t>Emissions from leaching and runoff (Method 1)</t>
  </si>
  <si>
    <t>Emissions from leaching and runoff (Method 2)</t>
  </si>
  <si>
    <t>4.3.1.8 Manure applied to soils</t>
  </si>
  <si>
    <t>M1_Table_MN_leach_j_m</t>
  </si>
  <si>
    <t>M2_Table_MN_leach_j_m</t>
  </si>
  <si>
    <t>Mass of N lost to leaching and runoff from MMS (Method 1)</t>
  </si>
  <si>
    <t>Mass of N lost to leaching and runoff from MMS (Method 2)</t>
  </si>
  <si>
    <t>Table_PF_scope</t>
  </si>
  <si>
    <t>Fraction of manure applied to soils within farm boundary</t>
  </si>
  <si>
    <t>PF_scope</t>
  </si>
  <si>
    <t>M1_Table_MN_soil_scope1</t>
  </si>
  <si>
    <t>M2_Table_MN_soil_scope1</t>
  </si>
  <si>
    <t>Mass of nitrogen from manure applied to soils for scope 1 emissions (Method 1)</t>
  </si>
  <si>
    <t>Mass of nitrogen from manure applied to soils for scope 1 emissions (Method 2)</t>
  </si>
  <si>
    <r>
      <t>MNSoil</t>
    </r>
    <r>
      <rPr>
        <b/>
        <vertAlign val="subscript"/>
        <sz val="16"/>
        <color theme="1" tint="0.24994659260841701"/>
        <rFont val="Times New Roman"/>
        <family val="1"/>
      </rPr>
      <t>scope1</t>
    </r>
  </si>
  <si>
    <t>M1_Table_MN_soil_scope3</t>
  </si>
  <si>
    <t>M2_Table_MN_soil_scope3</t>
  </si>
  <si>
    <t>Mass of nitrogen from manure applied to soils for scope 3 emissions (Method 1)</t>
  </si>
  <si>
    <t>Mass of nitrogen from manure applied to soils for scope 3 emissions (Method 2)</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</si>
  <si>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</si>
  <si>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</si>
  <si>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</si>
  <si>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Table_PF_fert</t>
  </si>
  <si>
    <t>Fraction of manure applied to as fertiliser on own farm from MMS</t>
  </si>
  <si>
    <t>PF_fert</t>
  </si>
  <si>
    <t>M1_Table_MNSoil_scope3_fert</t>
  </si>
  <si>
    <t>M2_Table_MNSoil_scope3_fert</t>
  </si>
  <si>
    <t>Mass of N applied to own farm as fertiliser (Method 1)</t>
  </si>
  <si>
    <t>Mass of N applied to own farm as fertiliser (Method 2)</t>
  </si>
  <si>
    <r>
      <t>MNSoil</t>
    </r>
    <r>
      <rPr>
        <b/>
        <vertAlign val="subscript"/>
        <sz val="16"/>
        <color theme="1" tint="0.24994659260841701"/>
        <rFont val="Times New Roman"/>
        <family val="1"/>
      </rPr>
      <t>scope3,fert</t>
    </r>
  </si>
  <si>
    <t>M2_Table_AE_j</t>
  </si>
  <si>
    <t>Total annual nitrogen excreted all cattle (Method 1)</t>
  </si>
  <si>
    <t>Total annual nitrogen excreted all cattle (Method 2)</t>
  </si>
  <si>
    <t>M1_Table_MMS_j_m-14</t>
  </si>
  <si>
    <t>M2_Table_MMS_j_m-14</t>
  </si>
  <si>
    <t>Fraction of manure deposited on pasture range and paddock (Method 1)</t>
  </si>
  <si>
    <t>Fraction of manure deposited on pasture range and paddock (Method 2)</t>
  </si>
  <si>
    <t>M1_Table_MN_j_m-14</t>
  </si>
  <si>
    <t>M2_Table_MN_j_m-14</t>
  </si>
  <si>
    <t>Total nitrogen deposited on pasture range and paddock (Method 1)</t>
  </si>
  <si>
    <t>Total nitrogen deposited on pasture range and paddock (Method 2)</t>
  </si>
  <si>
    <t>Formula name</t>
  </si>
  <si>
    <t>Direct nitrous oxide emissions from urine and dung deposited on pasture (Method 1)</t>
  </si>
  <si>
    <t>Direct nitrous oxide emissions from urine and dung deposited on pasture (Method 2)</t>
  </si>
  <si>
    <t>4.3.1.10-11 Soil atmospheric deposition N2O</t>
  </si>
  <si>
    <t>M1_Table_M_vol_m-14</t>
  </si>
  <si>
    <t>M2_Table_M_vol_m-14</t>
  </si>
  <si>
    <t>Mass of N volatilised from urine and dung on pasture (Method 1)</t>
  </si>
  <si>
    <t>Mass of N volatilised from urine and dung on pasture (Method 2)</t>
  </si>
  <si>
    <r>
      <t>M</t>
    </r>
    <r>
      <rPr>
        <b/>
        <vertAlign val="subscript"/>
        <sz val="12"/>
        <color theme="1" tint="0.24994659260841701"/>
        <rFont val="Times New Roman"/>
        <family val="1"/>
      </rPr>
      <t>vol,m=14</t>
    </r>
  </si>
  <si>
    <r>
      <t>E</t>
    </r>
    <r>
      <rPr>
        <b/>
        <vertAlign val="subscript"/>
        <sz val="16"/>
        <color theme="1" tint="0.24994659260841701"/>
        <rFont val="Times New Roman"/>
        <family val="1"/>
      </rPr>
      <t>N2O,ad</t>
    </r>
  </si>
  <si>
    <t>4.3.1.12-13 Soil leaching and runoff N2O</t>
  </si>
  <si>
    <t xml:space="preserve"> </t>
  </si>
  <si>
    <t>M1_Table_M_leach_M-14</t>
  </si>
  <si>
    <t>M2_Table_M_leach_M-14</t>
  </si>
  <si>
    <t>Mass of N lost to leaching and runoff urine and faeces on pasture (Method 1)</t>
  </si>
  <si>
    <t>Mass of N lost to leaching and runoff urine and faeces on pasture (Method 2)</t>
  </si>
  <si>
    <r>
      <t>M</t>
    </r>
    <r>
      <rPr>
        <b/>
        <vertAlign val="subscript"/>
        <sz val="12"/>
        <color theme="1" tint="0.24994659260841701"/>
        <rFont val="Times New Roman"/>
        <family val="1"/>
      </rPr>
      <t>leach,m=14</t>
    </r>
  </si>
  <si>
    <r>
      <t>E</t>
    </r>
    <r>
      <rPr>
        <b/>
        <vertAlign val="subscript"/>
        <sz val="16"/>
        <color theme="1" tint="0.24994659260841701"/>
        <rFont val="Times New Roman"/>
        <family val="1"/>
      </rPr>
      <t>N2O,leach</t>
    </r>
  </si>
  <si>
    <t>Source Data - Dairy</t>
  </si>
  <si>
    <t>Dairy manure management systems</t>
  </si>
  <si>
    <t>Dairy crop or pasture production systems</t>
  </si>
  <si>
    <t>Irrigation methods</t>
  </si>
  <si>
    <t>Livestock classes</t>
  </si>
  <si>
    <t>Table_LivestockClasses_Dairy</t>
  </si>
  <si>
    <t>Symbol and MMS</t>
  </si>
  <si>
    <t>Livestock class</t>
  </si>
  <si>
    <t>Not irrigated</t>
  </si>
  <si>
    <t>Drip irrigation</t>
  </si>
  <si>
    <t>Surface irrigation</t>
  </si>
  <si>
    <t>Other irrigation</t>
  </si>
  <si>
    <t>Heifers &gt; 1</t>
  </si>
  <si>
    <t>Heifers &lt; 1 (weaned)</t>
  </si>
  <si>
    <t>Bulls &gt; 1</t>
  </si>
  <si>
    <t>Bulls &lt; 1 (weaned)</t>
  </si>
  <si>
    <t>Animal class j</t>
  </si>
  <si>
    <t>CH4 production</t>
  </si>
  <si>
    <t>Volatile solids (VSj=3,5)</t>
  </si>
  <si>
    <t>Nitrogen Excreted (NPWj=3,5)</t>
  </si>
  <si>
    <t>MMS m</t>
  </si>
  <si>
    <t>ACT</t>
  </si>
  <si>
    <t>NSW</t>
  </si>
  <si>
    <t>NT</t>
  </si>
  <si>
    <t>QLD</t>
  </si>
  <si>
    <t>SA</t>
  </si>
  <si>
    <t>TAS</t>
  </si>
  <si>
    <t>VIC</t>
  </si>
  <si>
    <t>WA</t>
  </si>
  <si>
    <t>NIR reference</t>
  </si>
  <si>
    <t>EFm</t>
  </si>
  <si>
    <t>FracGASMm</t>
  </si>
  <si>
    <t>MPW ENTERIC</t>
  </si>
  <si>
    <t>MRj</t>
  </si>
  <si>
    <t>Area</t>
  </si>
  <si>
    <t>Feedpad</t>
  </si>
  <si>
    <t>Duplicate of data in table 1.3.7</t>
  </si>
  <si>
    <t>Duration (weaned)</t>
  </si>
  <si>
    <t>Duration (pre-weaned)</t>
  </si>
  <si>
    <t>3.3.1.1-2 Enteric Methane</t>
  </si>
  <si>
    <t>M1_Table_M_j</t>
  </si>
  <si>
    <t>M2_Table_M_j</t>
  </si>
  <si>
    <t>Daily production of neteric methane (Method 1)</t>
  </si>
  <si>
    <t>Daily production of neteric methane (Method 2)</t>
  </si>
  <si>
    <t>Number of dairy cattle</t>
  </si>
  <si>
    <t>Duration of stay of weaned cattle (Method 1)</t>
  </si>
  <si>
    <t>Duration of stay of weaned cattle (Method 2)</t>
  </si>
  <si>
    <t>M1_Table_DPW_j-3-5</t>
  </si>
  <si>
    <t>M2_Table_DPW_j</t>
  </si>
  <si>
    <t>Duration of stay of pre-weaned cattle (Method 1)</t>
  </si>
  <si>
    <t>Duration of stay of pre-weaned cattle (Method 2)</t>
  </si>
  <si>
    <t>M1_Table_MPW_j-3-5</t>
  </si>
  <si>
    <t>M1_Table_E_enteric</t>
  </si>
  <si>
    <t>Total annual enteric methane production</t>
  </si>
  <si>
    <r>
      <t>E</t>
    </r>
    <r>
      <rPr>
        <b/>
        <vertAlign val="subscript"/>
        <sz val="16"/>
        <color theme="1" tint="0.24994659260841701"/>
        <rFont val="Times New Roman"/>
        <family val="1"/>
      </rPr>
      <t>CH4</t>
    </r>
  </si>
  <si>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</si>
  <si>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</si>
  <si>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</si>
  <si>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</si>
  <si>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</si>
  <si>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</si>
  <si>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</si>
  <si>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</si>
  <si>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</si>
  <si>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</si>
  <si>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</si>
  <si>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</si>
  <si>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</si>
  <si>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</si>
  <si>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</si>
  <si>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</si>
  <si>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</si>
  <si>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</si>
  <si>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</si>
  <si>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</si>
  <si>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</si>
  <si>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</si>
  <si>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</si>
  <si>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</si>
  <si>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</si>
  <si>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</si>
  <si>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</si>
  <si>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</si>
  <si>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</si>
  <si>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</si>
  <si>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</si>
  <si>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</si>
  <si>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</si>
  <si>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</si>
  <si>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</si>
  <si>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</si>
  <si>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</si>
  <si>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</si>
  <si>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</si>
  <si>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</si>
  <si>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</si>
  <si>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</si>
  <si>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</si>
  <si>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</si>
  <si>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</si>
  <si>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</si>
  <si>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</si>
  <si>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</si>
  <si>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</si>
  <si>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</si>
  <si>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</si>
  <si>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</si>
  <si>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</si>
  <si>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</si>
  <si>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</si>
  <si>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</si>
  <si>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</si>
  <si>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</si>
  <si>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</si>
  <si>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</si>
  <si>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</si>
  <si>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</si>
  <si>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</si>
  <si>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</si>
  <si>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</si>
  <si>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</si>
  <si>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</si>
  <si>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</si>
  <si>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</si>
  <si>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</si>
  <si>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</si>
  <si>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</si>
  <si>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</si>
  <si>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</si>
  <si>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</si>
  <si>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</si>
  <si>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</si>
  <si>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</si>
  <si>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</si>
  <si>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</si>
  <si>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</si>
  <si>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</si>
  <si>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</si>
  <si>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</si>
  <si>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</si>
  <si>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</si>
  <si>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t>Custom blend</t>
  </si>
  <si>
    <t>MN total</t>
  </si>
  <si>
    <t>Application area total</t>
  </si>
  <si>
    <t>N application rate</t>
  </si>
  <si>
    <t>Not used - application rate calculated per product blend application</t>
  </si>
  <si>
    <r>
      <t>EF</t>
    </r>
    <r>
      <rPr>
        <b/>
        <vertAlign val="subscript"/>
        <sz val="12"/>
        <color theme="1" tint="0.24994659260841701"/>
        <rFont val="Times New Roman"/>
        <family val="1"/>
      </rPr>
      <t>fj=irrigatedmaizeN2O</t>
    </r>
  </si>
  <si>
    <t>M1_Table_E_N2O</t>
  </si>
  <si>
    <t>Nitrous oxide emissions from inorganic fertiliser application (Method 1)</t>
  </si>
  <si>
    <r>
      <t>E</t>
    </r>
    <r>
      <rPr>
        <b/>
        <vertAlign val="subscript"/>
        <sz val="11"/>
        <color rgb="FF183C1B"/>
        <rFont val="Times New Roman"/>
        <family val="1"/>
      </rPr>
      <t>N2O</t>
    </r>
  </si>
  <si>
    <r>
      <t>EF</t>
    </r>
    <r>
      <rPr>
        <b/>
        <vertAlign val="subscript"/>
        <sz val="12"/>
        <color theme="1" tint="0.24994659260841701"/>
        <rFont val="Times New Roman"/>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</si>
  <si>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</si>
  <si>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6"/>
        <color theme="1" tint="0.24994659260841701"/>
        <rFont val="Times New Roman"/>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</si>
  <si>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</si>
  <si>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</si>
  <si>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</si>
  <si>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</si>
  <si>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</si>
  <si>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</si>
  <si>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</si>
  <si>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</si>
  <si>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</si>
  <si>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</si>
  <si>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</si>
  <si>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</si>
  <si>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</si>
  <si>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</si>
  <si>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</si>
  <si>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</si>
  <si>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</si>
  <si>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</si>
  <si>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</si>
  <si>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</si>
  <si>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</si>
  <si>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</si>
  <si>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</si>
  <si>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</si>
  <si>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</si>
  <si>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</si>
  <si>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</si>
  <si>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</si>
  <si>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</si>
  <si>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</si>
  <si>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</si>
  <si>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</si>
  <si>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</si>
  <si>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</si>
  <si>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</si>
  <si>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</si>
  <si>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</si>
  <si>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</si>
  <si>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</si>
  <si>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</si>
  <si>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</si>
  <si>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</si>
  <si>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</si>
  <si>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</si>
  <si>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</si>
  <si>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</si>
  <si>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</si>
  <si>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</si>
  <si>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</si>
  <si>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</si>
  <si>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</si>
  <si>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</si>
  <si>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</si>
  <si>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</si>
  <si>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</si>
  <si>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</si>
  <si>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</si>
  <si>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</si>
  <si>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</si>
  <si>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</si>
  <si>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</si>
  <si>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</si>
  <si>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</si>
  <si>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</si>
  <si>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</si>
  <si>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</si>
  <si>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</si>
  <si>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</si>
  <si>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</si>
  <si>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</si>
  <si>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</si>
  <si>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</si>
  <si>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</si>
  <si>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</si>
  <si>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</si>
  <si>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</si>
  <si>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</si>
  <si>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</si>
  <si>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</si>
  <si>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</si>
  <si>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</si>
  <si>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</si>
  <si>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</si>
  <si>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</si>
  <si>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</si>
  <si>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</si>
  <si>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</si>
  <si>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</si>
  <si>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</si>
  <si>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</si>
  <si>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</si>
  <si>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</si>
  <si>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</si>
  <si>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</si>
  <si>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</si>
  <si>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</si>
  <si>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</si>
  <si>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</si>
  <si>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</si>
  <si>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</si>
  <si>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</si>
  <si>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</si>
  <si>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</si>
  <si>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</si>
  <si>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</si>
  <si>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</si>
  <si>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</si>
  <si>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</si>
  <si>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</si>
  <si>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</si>
  <si>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</si>
  <si>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</si>
  <si>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</si>
  <si>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</si>
  <si>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</si>
  <si>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</si>
  <si>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</si>
  <si>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</si>
  <si>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</si>
  <si>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</si>
  <si>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</si>
  <si>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</si>
  <si>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</si>
  <si>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</si>
  <si>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</si>
  <si>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</si>
  <si>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</si>
  <si>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</si>
  <si>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</si>
  <si>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</si>
  <si>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</si>
  <si>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</si>
  <si>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</si>
  <si>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</si>
  <si>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</si>
  <si>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</si>
  <si>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</si>
  <si>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</si>
  <si>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</si>
  <si>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</si>
  <si>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</si>
  <si>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</si>
  <si>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</si>
  <si>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</si>
  <si>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</si>
  <si>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</si>
  <si>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</si>
  <si>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</si>
  <si>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</si>
  <si>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</si>
  <si>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</si>
  <si>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</si>
  <si>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</si>
  <si>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</si>
  <si>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</si>
  <si>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</si>
  <si>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</si>
  <si>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</si>
  <si>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</si>
  <si>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</si>
  <si>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</si>
  <si>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</si>
  <si>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</si>
  <si>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</si>
  <si>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</si>
  <si>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</si>
  <si>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</si>
  <si>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</si>
  <si>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</si>
  <si>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</si>
  <si>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</si>
  <si>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</si>
  <si>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</si>
  <si>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</si>
  <si>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</si>
  <si>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</si>
  <si>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</si>
  <si>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</si>
  <si>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</si>
  <si>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</si>
  <si>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</si>
  <si>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</si>
  <si>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</si>
  <si>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</si>
  <si>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</si>
  <si>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</si>
  <si>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</si>
  <si>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</si>
  <si>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</si>
  <si>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</si>
  <si>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</si>
  <si>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</si>
  <si>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</si>
  <si>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</si>
  <si>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</si>
  <si>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</si>
  <si>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</si>
  <si>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</si>
  <si>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</si>
  <si>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</si>
  <si>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</si>
  <si>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</si>
  <si>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</si>
  <si>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</si>
  <si>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</si>
  <si>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</si>
  <si>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</si>
  <si>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</si>
  <si>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</si>
  <si>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</si>
  <si>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</si>
  <si>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</si>
  <si>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</si>
  <si>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</si>
  <si>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</si>
  <si>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</si>
  <si>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</si>
  <si>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</si>
  <si>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</si>
  <si>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</si>
  <si>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</si>
  <si>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</si>
  <si>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</si>
  <si>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</si>
  <si>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</si>
  <si>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</si>
  <si>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</si>
  <si>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</si>
  <si>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</si>
  <si>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</si>
  <si>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</si>
  <si>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</si>
  <si>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</si>
  <si>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</si>
  <si>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</si>
  <si>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</si>
  <si>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</si>
  <si>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</si>
  <si>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</si>
  <si>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</si>
  <si>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</si>
  <si>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</si>
  <si>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</si>
  <si>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</si>
  <si>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</si>
  <si>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</si>
  <si>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</si>
  <si>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</si>
  <si>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</si>
  <si>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</si>
  <si>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</si>
  <si>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</si>
  <si>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</si>
  <si>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</si>
  <si>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</si>
  <si>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</si>
  <si>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</si>
  <si>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</si>
  <si>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</si>
  <si>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</si>
  <si>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</si>
  <si>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</si>
  <si>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</si>
  <si>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</si>
  <si>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</si>
  <si>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</si>
  <si>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</si>
  <si>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</si>
  <si>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</si>
  <si>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</si>
  <si>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</si>
  <si>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</si>
  <si>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</si>
  <si>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</si>
  <si>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</si>
  <si>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</si>
  <si>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</si>
  <si>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</si>
  <si>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</si>
  <si>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</si>
  <si>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</si>
  <si>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</si>
  <si>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</si>
  <si>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</si>
  <si>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</si>
  <si>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</si>
  <si>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</si>
  <si>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</si>
  <si>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</si>
  <si>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</si>
  <si>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</si>
  <si>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</si>
  <si>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</si>
  <si>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</si>
  <si>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</si>
  <si>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</si>
  <si>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</si>
  <si>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</si>
  <si>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</si>
  <si>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</si>
  <si>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</si>
  <si>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</si>
  <si>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</si>
  <si>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</si>
  <si>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</si>
  <si>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</si>
  <si>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</si>
  <si>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</si>
  <si>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</si>
  <si>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</si>
  <si>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</si>
  <si>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</si>
  <si>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</si>
  <si>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</si>
  <si>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</si>
  <si>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</si>
  <si>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</si>
  <si>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</si>
  <si>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</si>
  <si>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</si>
  <si>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</si>
  <si>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</si>
  <si>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</si>
  <si>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</si>
  <si>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</si>
  <si>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</si>
  <si>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</si>
  <si>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</si>
  <si>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</si>
  <si>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</si>
  <si>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</si>
  <si>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</si>
  <si>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</si>
  <si>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</si>
  <si>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</si>
  <si>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</si>
  <si>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</si>
  <si>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</si>
  <si>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</si>
  <si>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</si>
  <si>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</si>
  <si>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</si>
  <si>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</si>
  <si>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</si>
  <si>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</si>
  <si>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</si>
  <si>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</si>
  <si>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</si>
  <si>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</si>
  <si>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</si>
  <si>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</si>
  <si>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</si>
  <si>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</si>
  <si>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</si>
  <si>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</si>
  <si>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</si>
  <si>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</si>
  <si>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</si>
  <si>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</si>
  <si>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</si>
  <si>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</si>
  <si>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</si>
  <si>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</si>
  <si>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</si>
  <si>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Dairy Cattle Purchases</t>
  </si>
  <si>
    <t>⚠️ Livestock sales and purchases are not automatically reflected in the duration and head count tables - you will need to manually adjust head count, duration and average liveweight</t>
  </si>
  <si>
    <t>Breed (select)</t>
  </si>
  <si>
    <t>Quantity (head)</t>
  </si>
  <si>
    <t>Liveweight (kg/head) Method 1</t>
  </si>
  <si>
    <t>Liveweight (kg/head) Method 2</t>
  </si>
  <si>
    <t>Dairy cows from Denise</t>
  </si>
  <si>
    <t>Jersey crossbred</t>
  </si>
  <si>
    <t>Ayrshire</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</si>
  <si>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</si>
  <si>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</si>
  <si>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</si>
  <si>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</si>
  <si>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</si>
  <si>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</si>
  <si>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</si>
  <si>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</si>
  <si>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</si>
  <si>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</si>
  <si>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</si>
  <si>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</si>
  <si>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</si>
  <si>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</si>
  <si>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</si>
  <si>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</si>
  <si>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</si>
  <si>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</si>
  <si>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</si>
  <si>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</si>
  <si>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</si>
  <si>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</si>
  <si>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</si>
  <si>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</si>
  <si>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</si>
  <si>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</si>
  <si>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</si>
  <si>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</si>
  <si>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</si>
  <si>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</si>
  <si>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</si>
  <si>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</si>
  <si>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</si>
  <si>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</si>
  <si>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</si>
  <si>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</si>
  <si>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</si>
  <si>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</si>
  <si>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</si>
  <si>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</si>
  <si>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</si>
  <si>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</si>
  <si>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</si>
  <si>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</si>
  <si>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</si>
  <si>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</si>
  <si>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</si>
  <si>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</si>
  <si>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</si>
  <si>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</si>
  <si>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</si>
  <si>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</si>
  <si>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</si>
  <si>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</si>
  <si>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</si>
  <si>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</si>
  <si>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</si>
  <si>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</si>
  <si>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</si>
  <si>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</si>
  <si>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</si>
  <si>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</si>
  <si>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</si>
  <si>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</si>
  <si>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</si>
  <si>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</si>
  <si>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</si>
  <si>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</si>
  <si>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</si>
  <si>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</si>
  <si>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</si>
  <si>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</si>
  <si>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</si>
  <si>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</si>
  <si>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</si>
  <si>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</si>
  <si>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</si>
  <si>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</si>
  <si>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</si>
  <si>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</si>
  <si>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</si>
  <si>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</si>
  <si>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</si>
  <si>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</si>
  <si>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</si>
  <si>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</si>
  <si>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</si>
  <si>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</si>
  <si>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</si>
  <si>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</si>
  <si>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</si>
  <si>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</si>
  <si>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</si>
  <si>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</si>
  <si>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</si>
  <si>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</si>
  <si>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</si>
  <si>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</si>
  <si>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</si>
  <si>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</si>
  <si>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</si>
  <si>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</si>
  <si>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</si>
  <si>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</si>
  <si>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</si>
  <si>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</si>
  <si>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</si>
  <si>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</si>
  <si>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</si>
  <si>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</si>
  <si>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</si>
  <si>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</si>
  <si>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</si>
  <si>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</si>
  <si>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</si>
  <si>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</si>
  <si>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</si>
  <si>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</si>
  <si>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</si>
  <si>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</si>
  <si>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</si>
  <si>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</si>
  <si>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</si>
  <si>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</si>
  <si>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</si>
  <si>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</si>
  <si>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</si>
  <si>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</si>
  <si>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</si>
  <si>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</si>
  <si>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</si>
  <si>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</si>
  <si>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</si>
  <si>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</si>
  <si>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</si>
  <si>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</si>
  <si>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</si>
  <si>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</si>
  <si>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</si>
  <si>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</si>
  <si>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</si>
  <si>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</si>
  <si>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</si>
  <si>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</si>
  <si>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</si>
  <si>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</si>
  <si>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</si>
  <si>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</si>
  <si>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</si>
  <si>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</si>
  <si>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</si>
  <si>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</si>
  <si>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</si>
  <si>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</si>
  <si>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</si>
  <si>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</si>
  <si>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</si>
  <si>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</si>
  <si>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</si>
  <si>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</si>
  <si>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</si>
  <si>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</si>
  <si>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</si>
  <si>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</si>
  <si>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</si>
  <si>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</si>
  <si>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</si>
  <si>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</si>
  <si>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</si>
  <si>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</si>
  <si>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</si>
  <si>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</si>
  <si>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</si>
  <si>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</si>
  <si>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</si>
  <si>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</si>
  <si>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</si>
  <si>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</si>
  <si>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</si>
  <si>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</si>
  <si>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</si>
  <si>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</si>
  <si>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</si>
  <si>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</si>
  <si>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</si>
  <si>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</si>
  <si>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</si>
  <si>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</si>
  <si>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</si>
  <si>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</si>
  <si>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</si>
  <si>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</si>
  <si>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</si>
  <si>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</si>
  <si>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</si>
  <si>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</si>
  <si>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</si>
  <si>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</si>
  <si>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</si>
  <si>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</si>
  <si>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</si>
  <si>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</si>
  <si>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</si>
  <si>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</si>
  <si>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</si>
  <si>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</si>
  <si>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</si>
  <si>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</si>
  <si>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</si>
  <si>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</si>
  <si>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</si>
  <si>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</si>
  <si>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</si>
  <si>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</si>
  <si>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</si>
  <si>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</si>
  <si>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</si>
  <si>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</si>
  <si>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</si>
  <si>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</si>
  <si>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</si>
  <si>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</si>
  <si>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</si>
  <si>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</si>
  <si>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</si>
  <si>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</si>
  <si>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</si>
  <si>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</si>
  <si>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</si>
  <si>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</si>
  <si>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</si>
  <si>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</si>
  <si>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</si>
  <si>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</si>
  <si>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</si>
  <si>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</si>
  <si>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</si>
  <si>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</si>
  <si>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</si>
  <si>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</si>
  <si>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</si>
  <si>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Table_ProductRegions_Beefcattle</t>
  </si>
  <si>
    <t>Category</t>
  </si>
  <si>
    <t>Region of origin</t>
  </si>
  <si>
    <t>Quantity Unit</t>
  </si>
  <si>
    <t>Emissions intensity</t>
  </si>
  <si>
    <t>System boundary</t>
  </si>
  <si>
    <t>Region</t>
  </si>
  <si>
    <t>Scope3 region</t>
  </si>
  <si>
    <t>GHGEI-MIAFF</t>
  </si>
  <si>
    <t>WA - South west</t>
  </si>
  <si>
    <t>WA - Pilbara</t>
  </si>
  <si>
    <t>WA - Kimberley</t>
  </si>
  <si>
    <t>NT - Alice Springs</t>
  </si>
  <si>
    <t>NT - Barkly</t>
  </si>
  <si>
    <t>NT - Northern</t>
  </si>
  <si>
    <t>QLD - High</t>
  </si>
  <si>
    <t>QLD - Moderate/High</t>
  </si>
  <si>
    <t>QLD - Moderate/Low</t>
  </si>
  <si>
    <t>QLD - Low</t>
  </si>
  <si>
    <t>Chemicals</t>
  </si>
  <si>
    <t>Inorganic fertilisers</t>
  </si>
  <si>
    <t>Quantity</t>
  </si>
  <si>
    <t>Other agricultural inputs</t>
  </si>
  <si>
    <t>Packaging</t>
  </si>
  <si>
    <t>Soil ameliorants</t>
  </si>
  <si>
    <t>Fish feed and bait</t>
  </si>
  <si>
    <t>VEERG</t>
  </si>
  <si>
    <t>Constants - Livestock</t>
  </si>
  <si>
    <t>Symbol</t>
  </si>
  <si>
    <t>Manure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</si>
</sst>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00000000"/>
    <numFmt numFmtId="172" formatCode="0.0%"/>
    <numFmt numFmtId="173" formatCode="0.0000%"/>
    <numFmt numFmtId="174" formatCode="0.000000E+00"/>
    <numFmt numFmtId="175" formatCode="[$-C09]d\ mmmm\ yyyy;@"/>
    <numFmt numFmtId="176" formatCode="0.00000"/>
  </numFmts>
  <fonts count="91"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9"/>
      <color rgb="FF404040"/>
      <name val="Times New Roman"/>
      <family val="1"/>
    </font>
    <font>
      <b/>
      <sz val="20"/>
      <color rgb="FF0C769E"/>
      <name val="Times New Roman"/>
      <family val="1"/>
    </font>
    <font>
      <b/>
      <sz val="16"/>
      <color theme="1" tint="0.24994659260841701"/>
      <name val="Times New Roman"/>
      <family val="1"/>
    </font>
    <font>
      <i/>
      <sz val="16"/>
      <color theme="1" tint="0.34998626667073579"/>
      <name val="Times New Roman"/>
      <family val="1"/>
    </font>
    <font>
      <sz val="16"/>
      <color theme="1" tint="0.24994659260841701"/>
      <name val="Times New Roman"/>
      <family val="1"/>
    </font>
    <font>
      <b/>
      <sz val="12"/>
      <color theme="1"/>
      <name val="Times New Roman"/>
      <family val="2"/>
    </font>
    <font>
      <sz val="11"/>
      <color theme="1"/>
      <name val="Times New Roman"/>
      <family val="2"/>
    </font>
    <font>
      <b/>
      <sz val="22"/>
      <color theme="5" tint="-0.499984740745262"/>
      <name val="Times New Roman"/>
      <family val="1"/>
    </font>
    <font>
      <i/>
      <sz val="10"/>
      <color theme="1" tint="0.14999847407452621"/>
      <name val="Times New Roman"/>
      <family val="1"/>
      <scheme val="minor"/>
    </font>
    <font>
      <b/>
      <sz val="12"/>
      <color theme="1" tint="0.499984740745262"/>
      <name val="Times New Roman"/>
      <family val="1"/>
    </font>
    <font>
      <sz val="10"/>
      <color theme="1" tint="0.499984740745262"/>
      <name val="Times New Roman"/>
      <family val="1"/>
    </font>
    <font>
      <b/>
      <vertAlign val="subscript"/>
      <sz val="11"/>
      <color rgb="FF183C1B"/>
      <name val="Times New Roman"/>
      <family val="1"/>
    </font>
    <font>
      <vertAlign val="subscript"/>
      <sz val="12"/>
      <color theme="1" tint="0.24994659260841701"/>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11"/>
      <color theme="1"/>
      <name val="Times New Roman"/>
      <family val="2"/>
      <scheme val="minor"/>
    </font>
    <font>
      <sz val="11"/>
      <name val="Times New Roman"/>
      <family val="1"/>
    </font>
    <font>
      <sz val="12"/>
      <name val="Times New Roman"/>
      <family val="1"/>
    </font>
    <font>
      <b/>
      <sz val="10"/>
      <color theme="1" tint="0.14999847407452621"/>
      <name val="Times New Roman"/>
      <family val="1"/>
    </font>
    <font>
      <b/>
      <vertAlign val="subscript"/>
      <sz val="11"/>
      <color rgb="FF533001"/>
      <name val="Times New Roman"/>
      <family val="1"/>
    </font>
    <font>
      <b/>
      <i/>
      <sz val="12"/>
      <color rgb="FFCC6600"/>
      <name val="Times New Roman"/>
      <family val="1"/>
    </font>
    <font>
      <sz val="9"/>
      <name val="Times New Roman"/>
      <family val="1"/>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1"/>
      <color theme="1"/>
      <name val="Times New Roman"/>
      <family val="1"/>
      <scheme val="minor"/>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3">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6" fillId="4" borderId="0">
      <alignment horizontal="left" vertical="center"/>
    </xf>
    <xf numFmtId="0" fontId="30" fillId="4" borderId="0">
      <alignment vertical="center"/>
    </xf>
    <xf numFmtId="0" fontId="4" fillId="4" borderId="0">
      <alignment horizontal="left" vertical="center"/>
    </xf>
    <xf numFmtId="0" fontId="28"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1" fillId="13" borderId="5">
      <alignment horizontal="left" vertical="center"/>
    </xf>
    <xf numFmtId="3" fontId="24" fillId="4" borderId="2">
      <alignment horizontal="center" vertical="center"/>
    </xf>
    <xf numFmtId="167" fontId="3" fillId="0" borderId="2">
      <alignment horizontal="center" vertical="center"/>
    </xf>
    <xf numFmtId="0" fontId="25" fillId="0" borderId="0"/>
    <xf numFmtId="0" fontId="10" fillId="0" borderId="0"/>
    <xf numFmtId="0" fontId="25" fillId="0" borderId="0"/>
    <xf numFmtId="166" fontId="24" fillId="4" borderId="2">
      <alignment horizontal="center" vertical="center"/>
    </xf>
    <xf numFmtId="4" fontId="24" fillId="4" borderId="2">
      <alignment horizontal="center" vertical="center"/>
    </xf>
    <xf numFmtId="0" fontId="35" fillId="4" borderId="0">
      <alignment horizontal="left" vertical="center"/>
    </xf>
    <xf numFmtId="0" fontId="27" fillId="4" borderId="0" applyNumberFormat="0">
      <alignment horizontal="center" vertical="center"/>
    </xf>
    <xf numFmtId="165" fontId="24" fillId="4" borderId="2">
      <alignment horizontal="center" vertical="center"/>
    </xf>
    <xf numFmtId="0" fontId="23" fillId="4" borderId="0">
      <alignment horizontal="left" vertical="center"/>
    </xf>
    <xf numFmtId="168" fontId="24" fillId="4" borderId="2">
      <alignment horizontal="center" vertical="center"/>
    </xf>
    <xf numFmtId="0" fontId="24" fillId="4" borderId="2">
      <alignment horizontal="center" vertical="center"/>
    </xf>
    <xf numFmtId="0" fontId="7" fillId="4" borderId="0">
      <alignment horizontal="left" vertical="center"/>
    </xf>
    <xf numFmtId="0" fontId="29" fillId="4" borderId="0">
      <alignment horizontal="left" vertical="center"/>
    </xf>
    <xf numFmtId="0" fontId="10" fillId="0" borderId="0"/>
    <xf numFmtId="0" fontId="3" fillId="0" borderId="2">
      <alignment horizontal="center" vertical="center"/>
    </xf>
    <xf numFmtId="0" fontId="33" fillId="4" borderId="0">
      <alignment horizontal="left" vertical="center"/>
    </xf>
    <xf numFmtId="0" fontId="34" fillId="4" borderId="0">
      <alignment horizontal="left" vertical="center"/>
    </xf>
    <xf numFmtId="0" fontId="36" fillId="4" borderId="0">
      <alignment horizontal="left" vertical="center"/>
    </xf>
    <xf numFmtId="0" fontId="32" fillId="11" borderId="0">
      <alignment horizontal="center" vertical="center"/>
    </xf>
    <xf numFmtId="0" fontId="21" fillId="11" borderId="0">
      <alignment horizontal="left" vertical="center" indent="1"/>
    </xf>
    <xf numFmtId="0" fontId="37" fillId="4" borderId="2">
      <alignment horizontal="left" vertical="center"/>
    </xf>
    <xf numFmtId="0" fontId="24" fillId="4" borderId="2">
      <alignment horizontal="left" vertical="center"/>
    </xf>
    <xf numFmtId="0" fontId="38" fillId="14" borderId="2">
      <alignment horizontal="center" vertical="center"/>
    </xf>
    <xf numFmtId="0" fontId="39" fillId="15" borderId="2">
      <alignment horizontal="center" vertical="center"/>
    </xf>
    <xf numFmtId="0" fontId="40"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59" fillId="0" borderId="0"/>
    <xf numFmtId="0" fontId="1" fillId="0" borderId="0"/>
    <xf numFmtId="0" fontId="83" fillId="4" borderId="0">
      <alignment horizontal="left" vertical="center"/>
    </xf>
    <xf numFmtId="0" fontId="39" fillId="17" borderId="2">
      <alignment horizontal="center" vertical="center"/>
    </xf>
  </cellStyleXfs>
  <cellXfs count="276">
    <xf numFmtId="0" fontId="0" fillId="0" borderId="0" xfId="0"/>
    <xf numFmtId="0" fontId="28" fillId="4" borderId="0" xfId="8">
      <alignment horizontal="left" vertical="center"/>
    </xf>
    <xf numFmtId="0" fontId="26"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0" fontId="7" fillId="4" borderId="0" xfId="53">
      <alignment horizontal="left" vertical="center"/>
    </xf>
    <xf numFmtId="0" fontId="11" fillId="0" borderId="0" xfId="32"/>
    <xf numFmtId="0" fontId="32" fillId="11" borderId="0" xfId="60">
      <alignment horizontal="center" vertical="center"/>
    </xf>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4" fillId="4" borderId="2" xfId="52">
      <alignment horizontal="center" vertical="center"/>
    </xf>
    <xf numFmtId="0" fontId="7" fillId="4" borderId="0" xfId="12">
      <alignment horizontal="left" vertical="center" indent="1"/>
    </xf>
    <xf numFmtId="0" fontId="30" fillId="4" borderId="0" xfId="6">
      <alignment vertical="center"/>
    </xf>
    <xf numFmtId="9" fontId="3" fillId="0" borderId="2" xfId="16">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29"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6" fillId="0" borderId="0" xfId="5" applyFill="1">
      <alignment horizontal="left" vertical="center"/>
    </xf>
    <xf numFmtId="0" fontId="12" fillId="4" borderId="0" xfId="30">
      <alignment vertical="center"/>
    </xf>
    <xf numFmtId="0" fontId="30" fillId="0" borderId="0" xfId="6" applyFill="1">
      <alignment vertical="center"/>
    </xf>
    <xf numFmtId="0" fontId="3" fillId="0" borderId="2" xfId="14">
      <alignment horizontal="center" vertical="center"/>
    </xf>
    <xf numFmtId="0" fontId="28" fillId="0" borderId="0" xfId="8" applyFill="1">
      <alignment horizontal="left" vertical="center"/>
    </xf>
    <xf numFmtId="0" fontId="31" fillId="13" borderId="7" xfId="39" applyBorder="1">
      <alignment horizontal="left" vertical="center"/>
    </xf>
    <xf numFmtId="0" fontId="31" fillId="13" borderId="8" xfId="39" applyBorder="1">
      <alignment horizontal="left" vertical="center"/>
    </xf>
    <xf numFmtId="0" fontId="31" fillId="13" borderId="9" xfId="39" applyBorder="1">
      <alignment horizontal="left" vertical="center"/>
    </xf>
    <xf numFmtId="0" fontId="31" fillId="13" borderId="10" xfId="39" applyBorder="1">
      <alignment horizontal="left" vertical="center"/>
    </xf>
    <xf numFmtId="0" fontId="42" fillId="0" borderId="0" xfId="12" applyFont="1" applyFill="1" applyAlignment="1">
      <alignment horizontal="left" vertical="center"/>
    </xf>
    <xf numFmtId="166" fontId="24" fillId="4" borderId="2" xfId="40" applyNumberFormat="1">
      <alignment horizontal="center" vertical="center"/>
    </xf>
    <xf numFmtId="0" fontId="3" fillId="0" borderId="0" xfId="7" applyFont="1" applyFill="1">
      <alignment horizontal="left" vertical="center"/>
    </xf>
    <xf numFmtId="0" fontId="43" fillId="13" borderId="11" xfId="39" applyFont="1" applyBorder="1">
      <alignment horizontal="left" vertical="center"/>
    </xf>
    <xf numFmtId="0" fontId="31" fillId="13" borderId="12" xfId="39" applyBorder="1">
      <alignment horizontal="left" vertical="center"/>
    </xf>
    <xf numFmtId="0" fontId="31" fillId="13" borderId="13" xfId="39" applyBorder="1">
      <alignment horizontal="left" vertical="center"/>
    </xf>
    <xf numFmtId="0" fontId="31" fillId="13" borderId="14" xfId="39" applyBorder="1">
      <alignment horizontal="left" vertical="center"/>
    </xf>
    <xf numFmtId="0" fontId="31" fillId="13" borderId="15" xfId="39" applyBorder="1">
      <alignment horizontal="left" vertical="center"/>
    </xf>
    <xf numFmtId="0" fontId="31"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4" fillId="0" borderId="0" xfId="0" applyFont="1" applyAlignment="1" applyProtection="1">
      <alignment horizontal="center" vertical="center"/>
      <protection locked="0"/>
    </xf>
    <xf numFmtId="4" fontId="45" fillId="0" borderId="0" xfId="17" applyFont="1" applyBorder="1">
      <alignment horizontal="center" vertical="center"/>
    </xf>
    <xf numFmtId="164" fontId="9" fillId="4" borderId="0" xfId="26" applyBorder="1">
      <alignment horizontal="center" vertical="center"/>
    </xf>
    <xf numFmtId="4" fontId="45" fillId="4" borderId="0" xfId="17" applyFont="1" applyFill="1" applyBorder="1">
      <alignment horizontal="center" vertical="center"/>
    </xf>
    <xf numFmtId="0" fontId="45" fillId="4" borderId="0" xfId="12" applyFont="1" applyAlignment="1">
      <alignment horizontal="center" vertical="center"/>
    </xf>
    <xf numFmtId="0" fontId="45" fillId="4" borderId="0" xfId="8" applyFont="1" applyAlignment="1">
      <alignment horizontal="center" vertical="center"/>
    </xf>
    <xf numFmtId="166" fontId="45" fillId="4" borderId="0" xfId="8" applyNumberFormat="1" applyFont="1" applyAlignment="1">
      <alignment horizontal="center" vertical="center"/>
    </xf>
    <xf numFmtId="9" fontId="45" fillId="4" borderId="0" xfId="68" applyFont="1" applyFill="1" applyBorder="1" applyAlignment="1">
      <alignment horizontal="center" vertical="center"/>
    </xf>
    <xf numFmtId="0" fontId="46" fillId="4" borderId="0" xfId="0" applyFont="1" applyFill="1" applyAlignment="1">
      <alignment horizontal="center" vertical="center"/>
    </xf>
    <xf numFmtId="0" fontId="46" fillId="4" borderId="0" xfId="0" applyFont="1" applyFill="1"/>
    <xf numFmtId="0" fontId="45" fillId="4" borderId="0" xfId="0" applyFont="1" applyFill="1"/>
    <xf numFmtId="0" fontId="45" fillId="0" borderId="0" xfId="0" applyFont="1"/>
    <xf numFmtId="0" fontId="47" fillId="4" borderId="0" xfId="7" applyFont="1" applyAlignment="1">
      <alignment horizontal="center" vertical="center"/>
    </xf>
    <xf numFmtId="0" fontId="48" fillId="4" borderId="0" xfId="7" applyFont="1" applyAlignment="1">
      <alignment horizontal="center" vertical="center"/>
    </xf>
    <xf numFmtId="166" fontId="48" fillId="4" borderId="0" xfId="7" applyNumberFormat="1" applyFont="1" applyAlignment="1">
      <alignment horizontal="center" vertical="center"/>
    </xf>
    <xf numFmtId="0" fontId="48" fillId="4" borderId="0" xfId="0" applyFont="1" applyFill="1" applyAlignment="1">
      <alignment horizontal="center" vertical="center"/>
    </xf>
    <xf numFmtId="0" fontId="49" fillId="4" borderId="0" xfId="0" applyFont="1" applyFill="1" applyAlignment="1">
      <alignment horizontal="center" vertical="center"/>
    </xf>
    <xf numFmtId="0" fontId="49" fillId="4" borderId="0" xfId="0" applyFont="1" applyFill="1" applyAlignment="1">
      <alignment horizontal="left" vertical="center"/>
    </xf>
    <xf numFmtId="14" fontId="4" fillId="4" borderId="0" xfId="7" applyNumberFormat="1">
      <alignment horizontal="left" vertical="center"/>
    </xf>
    <xf numFmtId="0" fontId="31" fillId="13" borderId="5" xfId="39">
      <alignment horizontal="left" vertical="center"/>
    </xf>
    <xf numFmtId="0" fontId="40"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0" fillId="4" borderId="0" xfId="0" applyFont="1" applyFill="1"/>
    <xf numFmtId="0" fontId="3" fillId="0" borderId="2" xfId="56">
      <alignment horizontal="center" vertical="center"/>
    </xf>
    <xf numFmtId="0" fontId="41" fillId="4" borderId="0" xfId="8" applyFont="1">
      <alignment horizontal="left" vertical="center"/>
    </xf>
    <xf numFmtId="0" fontId="24" fillId="4" borderId="2" xfId="52" quotePrefix="1">
      <alignment horizontal="center" vertical="center"/>
    </xf>
    <xf numFmtId="0" fontId="35" fillId="4" borderId="0" xfId="47">
      <alignment horizontal="left" vertical="center"/>
    </xf>
    <xf numFmtId="0" fontId="36" fillId="4" borderId="0" xfId="59">
      <alignment horizontal="left" vertical="center"/>
    </xf>
    <xf numFmtId="170" fontId="0" fillId="0" borderId="0" xfId="8" applyNumberFormat="1" applyFont="1" applyFill="1">
      <alignment horizontal="left" vertical="center"/>
    </xf>
    <xf numFmtId="0" fontId="13" fillId="6" borderId="0" xfId="29">
      <alignment horizontal="center" vertical="center"/>
      <protection locked="0"/>
    </xf>
    <xf numFmtId="0" fontId="0" fillId="0" borderId="0" xfId="14" applyFont="1" applyBorder="1">
      <alignment horizontal="center" vertical="center"/>
    </xf>
    <xf numFmtId="0" fontId="51" fillId="9" borderId="4" xfId="34" applyFont="1">
      <alignment horizontal="left" vertical="center" indent="1"/>
    </xf>
    <xf numFmtId="0" fontId="21" fillId="10" borderId="0" xfId="35">
      <alignment horizontal="left" vertical="center" indent="1"/>
    </xf>
    <xf numFmtId="0" fontId="52" fillId="0" borderId="0" xfId="32" applyFont="1"/>
    <xf numFmtId="0" fontId="53" fillId="4" borderId="0" xfId="8" applyFont="1">
      <alignment horizontal="left" vertical="center"/>
    </xf>
    <xf numFmtId="0" fontId="54" fillId="4" borderId="0" xfId="53" applyFont="1">
      <alignment horizontal="left" vertical="center"/>
    </xf>
    <xf numFmtId="0" fontId="53" fillId="4" borderId="1" xfId="8" applyFont="1" applyBorder="1">
      <alignment horizontal="left" vertical="center"/>
    </xf>
    <xf numFmtId="0" fontId="28" fillId="4" borderId="1" xfId="8" applyBorder="1">
      <alignment horizontal="left" vertical="center"/>
    </xf>
    <xf numFmtId="0" fontId="54" fillId="4" borderId="1" xfId="53" applyFont="1" applyBorder="1">
      <alignment horizontal="left" vertical="center"/>
    </xf>
    <xf numFmtId="0" fontId="55" fillId="4" borderId="1" xfId="8" applyFont="1" applyBorder="1">
      <alignment horizontal="left" vertical="center"/>
    </xf>
    <xf numFmtId="0" fontId="55" fillId="4" borderId="0" xfId="8" applyFont="1">
      <alignment horizontal="left" vertical="center"/>
    </xf>
    <xf numFmtId="0" fontId="41" fillId="4" borderId="1" xfId="8" applyFont="1" applyBorder="1">
      <alignment horizontal="left" vertical="center"/>
    </xf>
    <xf numFmtId="0" fontId="7" fillId="4" borderId="1" xfId="53" applyBorder="1">
      <alignment horizontal="left" vertical="center"/>
    </xf>
    <xf numFmtId="0" fontId="28" fillId="11" borderId="0" xfId="8" applyFill="1">
      <alignment horizontal="left" vertical="center"/>
    </xf>
    <xf numFmtId="171" fontId="28" fillId="4" borderId="0" xfId="8" applyNumberFormat="1">
      <alignment horizontal="left" vertical="center"/>
    </xf>
    <xf numFmtId="0" fontId="10" fillId="0" borderId="0" xfId="55"/>
    <xf numFmtId="0" fontId="13" fillId="6" borderId="0" xfId="28">
      <alignment horizontal="left" vertical="center" indent="1"/>
    </xf>
    <xf numFmtId="0" fontId="21" fillId="5" borderId="0" xfId="36">
      <alignment horizontal="left" vertical="center" indent="1"/>
    </xf>
    <xf numFmtId="3" fontId="3" fillId="0" borderId="2" xfId="18">
      <alignment horizontal="center" vertical="center"/>
    </xf>
    <xf numFmtId="0" fontId="17" fillId="4" borderId="0" xfId="31" applyFill="1">
      <alignment vertical="center"/>
    </xf>
    <xf numFmtId="172" fontId="24" fillId="4" borderId="2" xfId="68" applyNumberFormat="1" applyFont="1" applyFill="1" applyBorder="1" applyAlignment="1">
      <alignment horizontal="center" vertical="center"/>
    </xf>
    <xf numFmtId="172" fontId="3" fillId="0" borderId="2" xfId="16" applyNumberFormat="1">
      <alignment horizontal="center" vertical="center"/>
    </xf>
    <xf numFmtId="172" fontId="3" fillId="0" borderId="2" xfId="68" applyNumberFormat="1" applyFont="1" applyBorder="1" applyAlignment="1">
      <alignment horizontal="center" vertical="center"/>
    </xf>
    <xf numFmtId="172" fontId="28" fillId="4" borderId="0" xfId="8" applyNumberFormat="1">
      <alignment horizontal="left" vertical="center"/>
    </xf>
    <xf numFmtId="173" fontId="28" fillId="4" borderId="0" xfId="8" applyNumberFormat="1">
      <alignment horizontal="left" vertical="center"/>
    </xf>
    <xf numFmtId="0" fontId="13" fillId="6" borderId="0" xfId="28" applyAlignment="1">
      <alignment horizontal="left" vertical="center"/>
    </xf>
    <xf numFmtId="0" fontId="58" fillId="4" borderId="0" xfId="59" applyFont="1">
      <alignment horizontal="left" vertical="center"/>
    </xf>
    <xf numFmtId="0" fontId="28" fillId="4" borderId="0" xfId="8" applyAlignment="1">
      <alignment horizontal="center" vertical="center"/>
    </xf>
    <xf numFmtId="9" fontId="24" fillId="4" borderId="2" xfId="68" applyFont="1" applyFill="1" applyBorder="1" applyAlignment="1">
      <alignment horizontal="center" vertical="center"/>
    </xf>
    <xf numFmtId="0" fontId="28" fillId="4" borderId="0" xfId="8" applyAlignment="1">
      <alignment horizontal="left" vertical="center" indent="3"/>
    </xf>
    <xf numFmtId="10" fontId="28" fillId="4" borderId="0" xfId="8" applyNumberFormat="1">
      <alignment horizontal="left" vertical="center"/>
    </xf>
    <xf numFmtId="0" fontId="13" fillId="6" borderId="0" xfId="28" applyAlignment="1">
      <alignment horizontal="left" vertical="center" indent="6"/>
    </xf>
    <xf numFmtId="0" fontId="28" fillId="4" borderId="0" xfId="8" applyAlignment="1">
      <alignment horizontal="left" vertical="center" indent="6"/>
    </xf>
    <xf numFmtId="0" fontId="41" fillId="4" borderId="0" xfId="8" applyFont="1" applyAlignment="1">
      <alignment horizontal="left" vertical="center" indent="6"/>
    </xf>
    <xf numFmtId="0" fontId="28" fillId="4" borderId="0" xfId="8" applyAlignment="1">
      <alignment horizontal="left" vertical="center" indent="9"/>
    </xf>
    <xf numFmtId="0" fontId="16" fillId="4" borderId="0" xfId="24">
      <alignment horizontal="left" vertical="center"/>
    </xf>
    <xf numFmtId="0" fontId="21" fillId="8" borderId="0" xfId="37">
      <alignment horizontal="left" vertical="center" indent="1"/>
    </xf>
    <xf numFmtId="0" fontId="24" fillId="4" borderId="2" xfId="63">
      <alignment horizontal="left" vertical="center"/>
    </xf>
    <xf numFmtId="0" fontId="39" fillId="15" borderId="2" xfId="65">
      <alignment horizontal="center" vertical="center"/>
    </xf>
    <xf numFmtId="0" fontId="33" fillId="4" borderId="0" xfId="57">
      <alignment horizontal="left" vertical="center"/>
    </xf>
    <xf numFmtId="0" fontId="34" fillId="4" borderId="0" xfId="58">
      <alignment horizontal="left" vertical="center"/>
    </xf>
    <xf numFmtId="0" fontId="6" fillId="2" borderId="0" xfId="9">
      <alignment horizontal="center" vertical="center"/>
    </xf>
    <xf numFmtId="0" fontId="24" fillId="4" borderId="17" xfId="63" applyBorder="1">
      <alignment horizontal="left" vertical="center"/>
    </xf>
    <xf numFmtId="0" fontId="24" fillId="4" borderId="18" xfId="63" applyBorder="1">
      <alignment horizontal="left" vertical="center"/>
    </xf>
    <xf numFmtId="0" fontId="37" fillId="4" borderId="2" xfId="62">
      <alignment horizontal="left" vertical="center"/>
    </xf>
    <xf numFmtId="0" fontId="38" fillId="14" borderId="2" xfId="64">
      <alignment horizontal="center" vertical="center"/>
    </xf>
    <xf numFmtId="0" fontId="59" fillId="0" borderId="0" xfId="69"/>
    <xf numFmtId="0" fontId="60" fillId="4" borderId="0" xfId="8" applyFont="1">
      <alignment horizontal="left" vertical="center"/>
    </xf>
    <xf numFmtId="0" fontId="61" fillId="4" borderId="0" xfId="8" applyFont="1">
      <alignment horizontal="left" vertical="center"/>
    </xf>
    <xf numFmtId="0" fontId="24" fillId="4" borderId="2" xfId="52" applyAlignment="1">
      <alignment horizontal="left" vertical="center"/>
    </xf>
    <xf numFmtId="0" fontId="24" fillId="4" borderId="19" xfId="63" applyBorder="1">
      <alignment horizontal="left" vertical="center"/>
    </xf>
    <xf numFmtId="3" fontId="24" fillId="4" borderId="2" xfId="52" applyNumberFormat="1">
      <alignment horizontal="center" vertical="center"/>
    </xf>
    <xf numFmtId="0" fontId="24" fillId="4" borderId="17" xfId="52" applyBorder="1" applyAlignment="1">
      <alignment horizontal="left" vertical="center"/>
    </xf>
    <xf numFmtId="0" fontId="24" fillId="4" borderId="19" xfId="52" applyBorder="1">
      <alignment horizontal="center" vertical="center"/>
    </xf>
    <xf numFmtId="43" fontId="28" fillId="4" borderId="0" xfId="67" applyFont="1" applyFill="1" applyAlignment="1">
      <alignment horizontal="left" vertical="center"/>
    </xf>
    <xf numFmtId="0" fontId="24" fillId="4" borderId="18" xfId="52" applyBorder="1" applyAlignment="1">
      <alignment horizontal="left" vertical="center"/>
    </xf>
    <xf numFmtId="0" fontId="10" fillId="0" borderId="0" xfId="43"/>
    <xf numFmtId="0" fontId="31" fillId="13" borderId="11" xfId="39" applyBorder="1">
      <alignment horizontal="left" vertical="center"/>
    </xf>
    <xf numFmtId="0" fontId="24" fillId="4" borderId="19" xfId="52" applyBorder="1" applyAlignment="1">
      <alignment horizontal="left" vertical="center"/>
    </xf>
    <xf numFmtId="0" fontId="0" fillId="0" borderId="0" xfId="1" applyFont="1" applyFill="1">
      <alignment horizontal="left" vertical="center" indent="1"/>
      <protection locked="0"/>
    </xf>
    <xf numFmtId="0" fontId="66" fillId="2" borderId="0" xfId="8" applyFont="1" applyFill="1">
      <alignment horizontal="left" vertical="center"/>
    </xf>
    <xf numFmtId="0" fontId="28" fillId="16" borderId="0" xfId="8" applyFill="1">
      <alignment horizontal="left" vertical="center"/>
    </xf>
    <xf numFmtId="0" fontId="67" fillId="4" borderId="0" xfId="0" applyFont="1" applyFill="1" applyAlignment="1">
      <alignment horizontal="center" vertical="center"/>
    </xf>
    <xf numFmtId="0" fontId="67" fillId="4" borderId="0" xfId="0" applyFont="1" applyFill="1"/>
    <xf numFmtId="0" fontId="68"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4" fillId="4" borderId="2" xfId="52" applyAlignment="1">
      <alignment horizontal="center" vertical="center" wrapText="1"/>
    </xf>
    <xf numFmtId="0" fontId="28" fillId="4" borderId="0" xfId="8" applyAlignment="1">
      <alignment horizontal="center" vertical="center" wrapText="1"/>
    </xf>
    <xf numFmtId="0" fontId="44" fillId="4" borderId="0" xfId="43" applyFont="1" applyFill="1" applyAlignment="1">
      <alignment horizontal="left" vertical="center" wrapText="1"/>
    </xf>
    <xf numFmtId="2" fontId="67" fillId="4" borderId="0" xfId="67" applyNumberFormat="1" applyFont="1" applyFill="1" applyBorder="1" applyAlignment="1" applyProtection="1">
      <alignment horizontal="center" wrapText="1"/>
      <protection locked="0"/>
    </xf>
    <xf numFmtId="1" fontId="67" fillId="4" borderId="0" xfId="67" applyNumberFormat="1" applyFont="1" applyFill="1" applyBorder="1" applyAlignment="1" applyProtection="1">
      <alignment horizontal="center" wrapText="1"/>
      <protection locked="0"/>
    </xf>
    <xf numFmtId="0" fontId="67" fillId="4" borderId="0" xfId="0" applyFont="1" applyFill="1" applyAlignment="1">
      <alignment horizontal="left" wrapText="1"/>
    </xf>
    <xf numFmtId="0" fontId="68" fillId="4" borderId="0" xfId="0" applyFont="1" applyFill="1" applyAlignment="1">
      <alignment wrapText="1"/>
    </xf>
    <xf numFmtId="0" fontId="28" fillId="4" borderId="0" xfId="8" applyAlignment="1">
      <alignment horizontal="left" vertical="center" wrapText="1"/>
    </xf>
    <xf numFmtId="0" fontId="35" fillId="4" borderId="0" xfId="47" applyAlignment="1">
      <alignment horizontal="left" vertical="center" wrapText="1"/>
    </xf>
    <xf numFmtId="0" fontId="0" fillId="4" borderId="0" xfId="0" applyFill="1" applyAlignment="1">
      <alignment wrapText="1"/>
    </xf>
    <xf numFmtId="0" fontId="10" fillId="0" borderId="0" xfId="55" applyAlignment="1" applyProtection="1">
      <alignment horizontal="center" vertical="center" wrapText="1"/>
      <protection locked="0"/>
    </xf>
    <xf numFmtId="0" fontId="69"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9" fillId="12" borderId="2" xfId="15" applyFont="1">
      <alignment horizontal="center" vertical="center"/>
    </xf>
    <xf numFmtId="9" fontId="0" fillId="0" borderId="20" xfId="68" applyFont="1" applyFill="1" applyBorder="1" applyAlignment="1">
      <alignment horizontal="center" vertical="center" wrapText="1"/>
    </xf>
    <xf numFmtId="4" fontId="57" fillId="0" borderId="2" xfId="17" applyFont="1" applyAlignment="1">
      <alignment horizontal="center" vertical="center" wrapText="1"/>
    </xf>
    <xf numFmtId="0" fontId="31" fillId="13" borderId="21" xfId="39" applyBorder="1">
      <alignment horizontal="left" vertical="center"/>
    </xf>
    <xf numFmtId="0" fontId="31" fillId="13" borderId="0" xfId="39" applyBorder="1">
      <alignment horizontal="left" vertical="center"/>
    </xf>
    <xf numFmtId="0" fontId="31" fillId="13" borderId="22" xfId="39" applyBorder="1">
      <alignment horizontal="left" vertical="center"/>
    </xf>
    <xf numFmtId="0" fontId="0" fillId="0" borderId="0" xfId="0" applyAlignment="1">
      <alignment wrapText="1"/>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7" fillId="4" borderId="0" xfId="12" applyAlignment="1">
      <alignment horizontal="center" vertical="center"/>
    </xf>
    <xf numFmtId="0" fontId="24" fillId="4" borderId="18" xfId="52" applyBorder="1">
      <alignment horizontal="center" vertical="center"/>
    </xf>
    <xf numFmtId="174" fontId="24" fillId="4" borderId="2" xfId="52" applyNumberFormat="1">
      <alignment horizontal="center" vertical="center"/>
    </xf>
    <xf numFmtId="0" fontId="6" fillId="2" borderId="0" xfId="1">
      <alignment horizontal="left" vertical="center" indent="1"/>
      <protection locked="0"/>
    </xf>
    <xf numFmtId="4" fontId="24" fillId="4" borderId="2" xfId="52" applyNumberFormat="1">
      <alignment horizontal="center" vertical="center"/>
    </xf>
    <xf numFmtId="9" fontId="24" fillId="4" borderId="2" xfId="52" applyNumberFormat="1">
      <alignment horizontal="center" vertical="center"/>
    </xf>
    <xf numFmtId="0" fontId="72" fillId="4" borderId="0" xfId="0" applyFont="1" applyFill="1"/>
    <xf numFmtId="0" fontId="7" fillId="4" borderId="1" xfId="12" applyBorder="1">
      <alignment horizontal="left" vertical="center" indent="1"/>
    </xf>
    <xf numFmtId="0" fontId="28" fillId="4" borderId="23" xfId="8" applyBorder="1">
      <alignment horizontal="left" vertical="center"/>
    </xf>
    <xf numFmtId="4" fontId="24" fillId="4" borderId="2" xfId="46">
      <alignment horizontal="center" vertical="center"/>
    </xf>
    <xf numFmtId="0" fontId="54" fillId="4" borderId="1" xfId="12" applyFont="1" applyBorder="1">
      <alignment horizontal="left" vertical="center" indent="1"/>
    </xf>
    <xf numFmtId="0" fontId="6" fillId="2" borderId="0" xfId="9" applyAlignment="1">
      <alignment horizontal="center" vertical="center" wrapText="1"/>
    </xf>
    <xf numFmtId="0" fontId="28" fillId="4" borderId="24"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3" fillId="0" borderId="2" xfId="17">
      <alignment horizontal="center" vertical="center"/>
    </xf>
    <xf numFmtId="166" fontId="24" fillId="4" borderId="2" xfId="45">
      <alignment horizontal="center" vertical="center"/>
    </xf>
    <xf numFmtId="175" fontId="0" fillId="0" borderId="0" xfId="8" applyNumberFormat="1" applyFont="1" applyFill="1">
      <alignment horizontal="left" vertical="center"/>
    </xf>
    <xf numFmtId="0" fontId="27" fillId="4" borderId="0" xfId="48">
      <alignment horizontal="center" vertical="center"/>
    </xf>
    <xf numFmtId="17" fontId="0" fillId="0" borderId="0" xfId="8" applyNumberFormat="1" applyFont="1" applyFill="1">
      <alignment horizontal="left" vertical="center"/>
    </xf>
    <xf numFmtId="43" fontId="28" fillId="4" borderId="0" xfId="8" applyNumberFormat="1">
      <alignment horizontal="left" vertical="center"/>
    </xf>
    <xf numFmtId="9" fontId="24" fillId="4" borderId="2" xfId="63" applyNumberFormat="1">
      <alignment horizontal="left" vertical="center"/>
    </xf>
    <xf numFmtId="0" fontId="73"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4" fillId="12" borderId="25" xfId="15" applyBorder="1">
      <alignment horizontal="center" vertical="center"/>
    </xf>
    <xf numFmtId="0" fontId="24" fillId="4" borderId="25" xfId="52" applyBorder="1">
      <alignment horizontal="center" vertical="center"/>
    </xf>
    <xf numFmtId="9" fontId="0" fillId="0" borderId="25" xfId="16" applyFont="1" applyBorder="1">
      <alignment horizontal="center" vertical="center"/>
    </xf>
    <xf numFmtId="0" fontId="27" fillId="4" borderId="0" xfId="48" applyAlignment="1">
      <alignment horizontal="left" vertical="center"/>
    </xf>
    <xf numFmtId="176" fontId="74" fillId="4" borderId="2" xfId="52" applyNumberFormat="1" applyFont="1">
      <alignment horizontal="center" vertical="center"/>
    </xf>
    <xf numFmtId="0" fontId="23" fillId="4" borderId="0" xfId="50">
      <alignment horizontal="left" vertical="center"/>
    </xf>
    <xf numFmtId="4" fontId="24" fillId="4" borderId="25" xfId="46" applyBorder="1">
      <alignment horizontal="center" vertical="center"/>
    </xf>
    <xf numFmtId="176" fontId="74" fillId="4" borderId="25" xfId="52" applyNumberFormat="1" applyFont="1" applyBorder="1">
      <alignment horizontal="center" vertical="center"/>
    </xf>
    <xf numFmtId="0" fontId="4" fillId="4" borderId="1" xfId="7" applyBorder="1">
      <alignment horizontal="left" vertical="center"/>
    </xf>
    <xf numFmtId="0" fontId="27" fillId="4" borderId="1" xfId="48" applyBorder="1" applyAlignment="1">
      <alignment horizontal="left" vertical="center"/>
    </xf>
    <xf numFmtId="0" fontId="24" fillId="4" borderId="26" xfId="52" applyBorder="1">
      <alignment horizontal="center" vertical="center"/>
    </xf>
    <xf numFmtId="0" fontId="24" fillId="4" borderId="27" xfId="52" applyBorder="1">
      <alignment horizontal="center" vertical="center"/>
    </xf>
    <xf numFmtId="4" fontId="24" fillId="4" borderId="26" xfId="46" applyBorder="1">
      <alignment horizontal="center" vertical="center"/>
    </xf>
    <xf numFmtId="4" fontId="24" fillId="4" borderId="28" xfId="46" applyBorder="1">
      <alignment horizontal="center" vertical="center"/>
    </xf>
    <xf numFmtId="176" fontId="74" fillId="4" borderId="28" xfId="52" applyNumberFormat="1" applyFont="1" applyBorder="1">
      <alignment horizontal="center" vertical="center"/>
    </xf>
    <xf numFmtId="176" fontId="74" fillId="4" borderId="26" xfId="52" applyNumberFormat="1" applyFont="1" applyBorder="1">
      <alignment horizontal="center" vertical="center"/>
    </xf>
    <xf numFmtId="0" fontId="24" fillId="4" borderId="28" xfId="52" applyBorder="1">
      <alignment horizontal="center" vertical="center"/>
    </xf>
    <xf numFmtId="0" fontId="74" fillId="4" borderId="28" xfId="52" applyFont="1" applyBorder="1">
      <alignment horizontal="center" vertical="center"/>
    </xf>
    <xf numFmtId="0" fontId="4" fillId="4" borderId="24" xfId="7" applyBorder="1">
      <alignment horizontal="left" vertical="center"/>
    </xf>
    <xf numFmtId="165" fontId="72" fillId="4" borderId="24" xfId="0" applyNumberFormat="1" applyFont="1" applyFill="1" applyBorder="1"/>
    <xf numFmtId="0" fontId="7" fillId="4" borderId="24" xfId="12" applyBorder="1">
      <alignment horizontal="left" vertical="center" indent="1"/>
    </xf>
    <xf numFmtId="168" fontId="72" fillId="4" borderId="0" xfId="0" applyNumberFormat="1" applyFont="1" applyFill="1" applyAlignment="1">
      <alignment vertical="center"/>
    </xf>
    <xf numFmtId="165" fontId="72" fillId="4" borderId="24" xfId="0" applyNumberFormat="1" applyFont="1" applyFill="1" applyBorder="1" applyAlignment="1">
      <alignment vertical="center"/>
    </xf>
    <xf numFmtId="0" fontId="72" fillId="4" borderId="0" xfId="0" applyFont="1" applyFill="1" applyAlignment="1">
      <alignment vertical="center"/>
    </xf>
    <xf numFmtId="165" fontId="75" fillId="4" borderId="24" xfId="0" applyNumberFormat="1" applyFont="1" applyFill="1" applyBorder="1" applyAlignment="1">
      <alignment vertical="center"/>
    </xf>
    <xf numFmtId="168" fontId="74" fillId="4" borderId="2" xfId="46" applyNumberFormat="1" applyFont="1">
      <alignment horizontal="center" vertical="center"/>
    </xf>
    <xf numFmtId="168" fontId="74" fillId="4" borderId="25" xfId="46" applyNumberFormat="1" applyFont="1" applyBorder="1">
      <alignment horizontal="center" vertical="center"/>
    </xf>
    <xf numFmtId="168" fontId="74" fillId="4" borderId="28" xfId="46" applyNumberFormat="1" applyFont="1" applyBorder="1">
      <alignment horizontal="center" vertical="center"/>
    </xf>
    <xf numFmtId="0" fontId="73" fillId="0" borderId="0" xfId="0" applyFont="1" applyAlignment="1">
      <alignment vertical="center" wrapText="1"/>
    </xf>
    <xf numFmtId="0" fontId="76" fillId="0" borderId="0" xfId="0" applyFont="1" applyAlignment="1">
      <alignment horizontal="left" vertical="center"/>
    </xf>
    <xf numFmtId="0" fontId="76" fillId="0" borderId="0" xfId="8" applyFont="1" applyFill="1">
      <alignment horizontal="left" vertical="center"/>
    </xf>
    <xf numFmtId="0" fontId="73" fillId="0" borderId="0" xfId="0" applyFont="1" applyAlignment="1">
      <alignment horizontal="left" vertical="center"/>
    </xf>
    <xf numFmtId="0" fontId="0" fillId="0" borderId="0" xfId="0" applyAlignment="1">
      <alignment horizontal="left" vertical="center"/>
    </xf>
    <xf numFmtId="0" fontId="28" fillId="4" borderId="0" xfId="8" applyAlignment="1">
      <alignment horizontal="right" vertical="center"/>
    </xf>
    <xf numFmtId="0" fontId="73" fillId="4" borderId="0" xfId="0" applyFont="1" applyFill="1" applyAlignment="1">
      <alignment horizontal="left" vertical="center"/>
    </xf>
    <xf numFmtId="0" fontId="41" fillId="4" borderId="0" xfId="8" applyFont="1" applyAlignment="1">
      <alignment horizontal="right" vertical="center"/>
    </xf>
    <xf numFmtId="0" fontId="77" fillId="4" borderId="0" xfId="0" applyFont="1" applyFill="1"/>
    <xf numFmtId="0" fontId="73" fillId="0" borderId="0" xfId="0" applyFont="1"/>
    <xf numFmtId="0" fontId="73" fillId="0" borderId="0" xfId="7" applyFont="1" applyFill="1">
      <alignment horizontal="left" vertical="center"/>
    </xf>
    <xf numFmtId="0" fontId="73" fillId="4" borderId="0" xfId="0" applyFont="1" applyFill="1"/>
    <xf numFmtId="0" fontId="73" fillId="4" borderId="0" xfId="7" applyFont="1">
      <alignment horizontal="left" vertical="center"/>
    </xf>
    <xf numFmtId="0" fontId="78" fillId="0" borderId="0" xfId="8" applyFont="1" applyFill="1">
      <alignment horizontal="left" vertical="center"/>
    </xf>
    <xf numFmtId="0" fontId="31" fillId="13" borderId="11" xfId="39" quotePrefix="1" applyBorder="1">
      <alignment horizontal="left" vertical="center"/>
    </xf>
    <xf numFmtId="0" fontId="79" fillId="4" borderId="0" xfId="0" applyFont="1" applyFill="1"/>
    <xf numFmtId="0" fontId="0" fillId="4" borderId="1" xfId="0" applyFill="1" applyBorder="1"/>
    <xf numFmtId="0" fontId="0" fillId="4" borderId="0" xfId="0" quotePrefix="1" applyFill="1"/>
    <xf numFmtId="0" fontId="80" fillId="4" borderId="1" xfId="0" applyFont="1" applyFill="1" applyBorder="1"/>
    <xf numFmtId="0" fontId="82" fillId="4" borderId="1" xfId="0" applyFont="1" applyFill="1" applyBorder="1"/>
    <xf numFmtId="0" fontId="79" fillId="0" borderId="0" xfId="0" applyFont="1"/>
    <xf numFmtId="0" fontId="1" fillId="0" borderId="0" xfId="70"/>
    <xf numFmtId="0" fontId="10" fillId="4" borderId="0" xfId="55" applyFill="1"/>
    <xf numFmtId="0" fontId="0" fillId="0" borderId="0" xfId="8" applyFont="1" applyFill="1" applyAlignment="1">
      <alignment horizontal="left" vertical="center" wrapText="1"/>
    </xf>
    <xf numFmtId="0" fontId="3" fillId="0" borderId="25" xfId="56" applyBorder="1">
      <alignment horizontal="center" vertical="center"/>
    </xf>
    <xf numFmtId="0" fontId="0" fillId="0" borderId="0" xfId="29" applyFont="1" applyFill="1" applyProtection="1">
      <alignment horizontal="center" vertical="center"/>
    </xf>
    <xf numFmtId="0" fontId="1" fillId="4" borderId="0" xfId="70" applyFill="1"/>
    <xf numFmtId="0" fontId="83" fillId="4" borderId="0" xfId="71">
      <alignment horizontal="left" vertical="center"/>
    </xf>
    <xf numFmtId="0" fontId="31" fillId="13" borderId="29" xfId="39" applyBorder="1">
      <alignment horizontal="left" vertical="center"/>
    </xf>
    <xf numFmtId="0" fontId="1" fillId="0" borderId="0" xfId="70" applyAlignment="1">
      <alignment horizontal="center" vertical="center" wrapText="1"/>
    </xf>
    <xf numFmtId="4" fontId="0" fillId="0" borderId="0" xfId="17" applyFont="1" applyBorder="1">
      <alignment horizontal="center" vertical="center"/>
    </xf>
    <xf numFmtId="0" fontId="67" fillId="4" borderId="0" xfId="55" applyFont="1" applyFill="1" applyAlignment="1" applyProtection="1">
      <alignment horizontal="center"/>
      <protection locked="0"/>
    </xf>
    <xf numFmtId="0" fontId="67" fillId="4" borderId="0" xfId="55" applyFont="1" applyFill="1" applyAlignment="1">
      <alignment horizontal="center" vertical="center"/>
    </xf>
    <xf numFmtId="0" fontId="0" fillId="0" borderId="0" xfId="17" applyNumberFormat="1" applyFont="1" applyBorder="1">
      <alignment horizontal="center" vertical="center"/>
    </xf>
    <xf numFmtId="0" fontId="4" fillId="12" borderId="25" xfId="15" applyBorder="1" applyAlignment="1">
      <alignment horizontal="center" vertical="center" wrapText="1"/>
    </xf>
    <xf numFmtId="0" fontId="39" fillId="17" borderId="2" xfId="72">
      <alignment horizontal="center" vertical="center"/>
    </xf>
    <xf numFmtId="0" fontId="56" fillId="6" borderId="0" xfId="8" applyFont="1" applyFill="1">
      <alignment horizontal="left" vertical="center"/>
    </xf>
    <xf numFmtId="0" fontId="74" fillId="4" borderId="2" xfId="52" applyFont="1">
      <alignment horizontal="center" vertical="center"/>
    </xf>
    <xf numFmtId="49" fontId="24" fillId="4" borderId="2" xfId="52" applyNumberFormat="1">
      <alignment horizontal="center" vertical="center"/>
    </xf>
    <xf numFmtId="0" fontId="86" fillId="4" borderId="1" xfId="8" applyFont="1" applyBorder="1">
      <alignment horizontal="left" vertical="center"/>
    </xf>
    <xf numFmtId="4" fontId="24" fillId="4" borderId="2" xfId="63" applyNumberFormat="1">
      <alignment horizontal="left" vertical="center"/>
    </xf>
    <xf numFmtId="0" fontId="56" fillId="2" borderId="0" xfId="8" applyFont="1" applyFill="1">
      <alignment horizontal="left" vertical="center"/>
    </xf>
    <xf numFmtId="0" fontId="21" fillId="11" borderId="0" xfId="61">
      <alignment horizontal="left" vertical="center" indent="1"/>
    </xf>
  </cellXfs>
  <cellStyles count="73">
    <cellStyle name="Alert" xfId="59" xr:uid="{34EFE908-8095-4010-8F93-8CFE88055637}"/>
    <cellStyle name="Arguments" xfId="63" xr:uid="{D74147AB-B374-43DE-928A-C20FDAA7023A}"/>
    <cellStyle name="Arguments hyperlink" xfId="62" xr:uid="{E9A63CA8-EB4E-4FD6-930A-AD1711340AFB}"/>
    <cellStyle name="Back to top link" xfId="69" xr:uid="{EA62C2B3-FDDC-4B12-AF77-A4473265B440}"/>
    <cellStyle name="Block heading" xfId="5" xr:uid="{74527274-3B4A-494A-B37C-EA50686E114C}"/>
    <cellStyle name="Block subheading" xfId="47" xr:uid="{34E62905-A3E0-4883-B81A-BDB58FC88DA7}"/>
    <cellStyle name="Block subheading 2" xfId="71" xr:uid="{BA67BFA2-D9D8-443E-B29C-D927E5676460}"/>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70" xr:uid="{9265C4AF-2211-4C7D-8FB3-14471AA33F67}"/>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2" xr:uid="{39F96AC3-3ED1-4BC3-BE21-1FBF45129987}"/>
    <cellStyle name="Variable type other" xfId="64" xr:uid="{105BD9DE-B567-4DA0-87E6-C60A0ECC1C65}"/>
  </cellStyles>
  <dxfs count="44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5" formatCode="[$-C09]d\ mmmm\ yyyy;@"/>
    </dxf>
    <dxf>
      <numFmt numFmtId="175"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numFmt numFmtId="170"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44"/>
      <tableStyleElement type="headerRow" dxfId="443"/>
      <tableStyleElement type="totalRow" dxfId="442"/>
      <tableStyleElement type="firstColumn" dxfId="441"/>
      <tableStyleElement type="firstRowStripe" dxfId="440"/>
      <tableStyleElement type="secondRowStripe" dxfId="439"/>
    </tableStyle>
    <tableStyle name="Equation table" pivot="0" count="6" xr9:uid="{B247698E-E41D-4CCD-AA0A-C14817E9DE65}">
      <tableStyleElement type="wholeTable" dxfId="438"/>
      <tableStyleElement type="headerRow" dxfId="437"/>
      <tableStyleElement type="totalRow" dxfId="436"/>
      <tableStyleElement type="firstColumn" dxfId="435"/>
      <tableStyleElement type="firstRowStripe" dxfId="434"/>
      <tableStyleElement type="secondRowStripe" dxfId="433"/>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 /><Relationship Id="rId21" Type="http://schemas.openxmlformats.org/officeDocument/2006/relationships/worksheet" Target="worksheets/sheet21.xml" /><Relationship Id="rId42" Type="http://schemas.openxmlformats.org/officeDocument/2006/relationships/worksheet" Target="worksheets/sheet42.xml" /><Relationship Id="rId47" Type="http://schemas.openxmlformats.org/officeDocument/2006/relationships/worksheet" Target="worksheets/sheet47.xml" /><Relationship Id="rId68" Type="http://schemas.openxmlformats.org/officeDocument/2006/relationships/sheetMetadata" Target="metadata.xml" /><Relationship Id="rId16" Type="http://schemas.openxmlformats.org/officeDocument/2006/relationships/worksheet" Target="worksheets/sheet1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3" Type="http://schemas.openxmlformats.org/officeDocument/2006/relationships/worksheet" Target="worksheets/sheet53.xml" /><Relationship Id="rId66" Type="http://schemas.openxmlformats.org/officeDocument/2006/relationships/styles" Target="styles.xml" /><Relationship Id="rId74" Type="http://schemas.openxmlformats.org/officeDocument/2006/relationships/customXml" Target="../customXml/item1.xml" /><Relationship Id="rId5" Type="http://schemas.openxmlformats.org/officeDocument/2006/relationships/worksheet" Target="worksheets/sheet5.xml" /><Relationship Id="rId19" Type="http://schemas.openxmlformats.org/officeDocument/2006/relationships/worksheet" Target="worksheets/sheet1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48" Type="http://schemas.openxmlformats.org/officeDocument/2006/relationships/worksheet" Target="worksheets/sheet48.xml" /><Relationship Id="rId69" Type="http://schemas.microsoft.com/office/2022/10/relationships/richValueRel" Target="richData/richValueRel.xml" /><Relationship Id="rId77" Type="http://schemas.openxmlformats.org/officeDocument/2006/relationships/customXml" Target="../customXml/item4.xml" /><Relationship Id="rId8" Type="http://schemas.openxmlformats.org/officeDocument/2006/relationships/worksheet" Target="worksheets/sheet8.xml" /><Relationship Id="rId51" Type="http://schemas.openxmlformats.org/officeDocument/2006/relationships/worksheet" Target="worksheets/sheet51.xml" /><Relationship Id="rId72" Type="http://schemas.microsoft.com/office/2017/06/relationships/rdRichValueTypes" Target="richData/rdRichValueTypes.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46" Type="http://schemas.openxmlformats.org/officeDocument/2006/relationships/worksheet" Target="worksheets/sheet46.xml" /><Relationship Id="rId67" Type="http://schemas.openxmlformats.org/officeDocument/2006/relationships/sharedStrings" Target="sharedStrings.xml" /><Relationship Id="rId20" Type="http://schemas.openxmlformats.org/officeDocument/2006/relationships/worksheet" Target="worksheets/sheet20.xml" /><Relationship Id="rId41" Type="http://schemas.openxmlformats.org/officeDocument/2006/relationships/worksheet" Target="worksheets/sheet41.xml" /><Relationship Id="rId54" Type="http://schemas.openxmlformats.org/officeDocument/2006/relationships/worksheet" Target="worksheets/sheet54.xml" /><Relationship Id="rId70" Type="http://schemas.microsoft.com/office/2017/06/relationships/rdRichValue" Target="richData/rdrichvalue.xml" /><Relationship Id="rId75" Type="http://schemas.openxmlformats.org/officeDocument/2006/relationships/customXml" Target="../customXml/item2.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49" Type="http://schemas.openxmlformats.org/officeDocument/2006/relationships/worksheet" Target="worksheets/sheet49.xml" /><Relationship Id="rId10" Type="http://schemas.openxmlformats.org/officeDocument/2006/relationships/worksheet" Target="worksheets/sheet10.xml" /><Relationship Id="rId31" Type="http://schemas.openxmlformats.org/officeDocument/2006/relationships/worksheet" Target="worksheets/sheet31.xml" /><Relationship Id="rId44" Type="http://schemas.openxmlformats.org/officeDocument/2006/relationships/worksheet" Target="worksheets/sheet44.xml" /><Relationship Id="rId52" Type="http://schemas.openxmlformats.org/officeDocument/2006/relationships/worksheet" Target="worksheets/sheet52.xml" /><Relationship Id="rId65" Type="http://schemas.openxmlformats.org/officeDocument/2006/relationships/theme" Target="theme/theme1.xml" /><Relationship Id="rId73"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worksheet" Target="worksheets/sheet9.xml" /><Relationship Id="rId13" Type="http://schemas.openxmlformats.org/officeDocument/2006/relationships/worksheet" Target="worksheets/sheet13.xml" /><Relationship Id="rId18" Type="http://schemas.openxmlformats.org/officeDocument/2006/relationships/worksheet" Target="worksheets/sheet18.xml" /><Relationship Id="rId39" Type="http://schemas.openxmlformats.org/officeDocument/2006/relationships/worksheet" Target="worksheets/sheet39.xml" /><Relationship Id="rId34" Type="http://schemas.openxmlformats.org/officeDocument/2006/relationships/worksheet" Target="worksheets/sheet34.xml" /><Relationship Id="rId50" Type="http://schemas.openxmlformats.org/officeDocument/2006/relationships/worksheet" Target="worksheets/sheet50.xml" /><Relationship Id="rId76" Type="http://schemas.openxmlformats.org/officeDocument/2006/relationships/customXml" Target="../customXml/item3.xml" /><Relationship Id="rId7" Type="http://schemas.openxmlformats.org/officeDocument/2006/relationships/worksheet" Target="worksheets/sheet7.xml" /><Relationship Id="rId71" Type="http://schemas.microsoft.com/office/2017/06/relationships/rdRichValueStructure" Target="richData/rdrichvaluestructure.xml" /><Relationship Id="rId2" Type="http://schemas.openxmlformats.org/officeDocument/2006/relationships/worksheet" Target="worksheets/sheet2.xml" /><Relationship Id="rId29" Type="http://schemas.openxmlformats.org/officeDocument/2006/relationships/worksheet" Target="worksheets/sheet29.xml" /></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chart" Target="../charts/chart1.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BE232CA8-6F05-4062-8274-F6BE8312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78B0D3CB-BA4C-49D2-8AB5-FDA06BCA1A89}"/>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B79AC6DC-1203-4AF1-A412-AEE4BCC48FB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8606D01F-4738-4521-B74D-63263D45F688}"/>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4E5E4FC2-3E1B-409E-9125-222B728CB256}"/>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2352115</xdr:colOff>
      <xdr:row>14</xdr:row>
      <xdr:rowOff>42582</xdr:rowOff>
    </xdr:from>
    <xdr:to>
      <xdr:col>4</xdr:col>
      <xdr:colOff>1256740</xdr:colOff>
      <xdr:row>16</xdr:row>
      <xdr:rowOff>154080</xdr:rowOff>
    </xdr:to>
    <xdr:sp macro="" textlink="$H$45">
      <xdr:nvSpPr>
        <xdr:cNvPr id="7" name="TextBox 6">
          <a:extLst>
            <a:ext uri="{FF2B5EF4-FFF2-40B4-BE49-F238E27FC236}">
              <a16:creationId xmlns:a16="http://schemas.microsoft.com/office/drawing/2014/main" id="{C4E923B1-3F7C-4408-AD1D-A000198E4E7D}"/>
            </a:ext>
          </a:extLst>
        </xdr:cNvPr>
        <xdr:cNvSpPr txBox="1"/>
      </xdr:nvSpPr>
      <xdr:spPr>
        <a:xfrm>
          <a:off x="5028640" y="3643032"/>
          <a:ext cx="2486025" cy="606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3A3C8740-AD3E-4747-B1C2-090EFB174033}"/>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8D698C23-A440-44D6-A7A6-A5156D304D67}"/>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F98F9FF4-5CB1-42A3-B4EF-6EFDBA9EDACF}"/>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A8F458F7-D36B-4180-9607-A56BBD8611B7}"/>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2D565D1A-AD43-488B-AD2B-4750EF75FBFF}"/>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0D9F4D46-A489-4DC2-A877-89E77C038142}"/>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64EA25F-A54A-41DB-B5EE-347FFC975000}"/>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D1330543-EAA9-429E-96B9-1D38E776272C}"/>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40D8909C-9A30-4D51-AE86-D78FECC4CCD5}"/>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2906587F-0EE4-4B86-B4AC-EDFECE39F252}"/>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D58C6125-361D-422A-8EDB-F0E2CECD4B9E}"/>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03DA92B1-C429-48F4-9458-6C91E93C5E37}"/>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B6B09905-CB21-4518-9846-CBCE010398FE}"/>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81A42E93-BE91-4128-BBAA-459E6DA89607}"/>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7845BEA1-E468-4A60-8EB3-46836D53964C}"/>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8AA9119C-2A3A-4AC0-9558-9CADB28E1D59}"/>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8D64E034-B0D2-4A8E-ADA8-44431DC4E0C5}"/>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35144003-582E-4774-8D3E-CD478B4A4459}"/>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22C9F784-E8E8-4377-87AC-2F4B911997E6}"/>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07D7150C-4955-44CD-9F64-B65C25394D35}"/>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DBF57A93-D5E3-4AD1-84FE-5F5F173F1C47}"/>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9B909584-D1D3-48E3-B164-7CA41F1E8361}"/>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74E84307-1461-4D97-A9BB-C6242587B450}"/>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B1B70FF3-9F14-49FB-B374-784B2F16D448}"/>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C245D905-3AF6-4459-AE06-18CCCC382746}"/>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3F6A1A88-4FA8-4872-8AAB-BA4222F619B3}"/>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CFF100AC-8D9F-4845-80C9-97ED083ACEB1}"/>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0FAE8ED8-FA5A-400C-9BC4-6689D2F1CA82}"/>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BE161644-3676-4831-B2F1-BDCB060BC5A8}"/>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E2794362-FD00-4B0E-8CCC-73C4691E02BC}"/>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D20C5A59-6475-4866-9AF4-C4CB44B06895}"/>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30B44379-00BA-40AB-9D25-A93340A53236}"/>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B40A6A85-0C67-445A-BE0B-D8EC55AB578A}"/>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87672113-DEF9-43EF-B481-26CA4A855BF9}"/>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04829A4-655E-4A93-964B-29A986B4CF47}"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41D3BB0D-B017-4934-86D6-FFC93C0AD3FC}"/>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BBBCB15-12D1-4F38-83A0-0D71BCF1AE39}"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51EF60C6-ED4F-40AB-A1E7-D320FE1526D8}"/>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93E7B2ED-53E2-4F5D-AE47-CDF5229A23F4}"/>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800" b="1" i="0" u="none" strike="noStrike">
              <a:solidFill>
                <a:srgbClr val="0C769E"/>
              </a:solidFill>
              <a:latin typeface="Times New Roman"/>
              <a:ea typeface="+mn-ea"/>
              <a:cs typeface="Times New Roman"/>
            </a:rPr>
            <a:pPr marL="0" indent="0"/>
            <a:t>#N/A</a:t>
          </a:fld>
          <a:endParaRPr lang="en-AU" sz="2800" b="1" i="0" u="none" strike="noStrike">
            <a:solidFill>
              <a:srgbClr val="0C769E"/>
            </a:solidFill>
            <a:latin typeface="Times New Roman"/>
            <a:ea typeface="+mn-ea"/>
            <a:cs typeface="Times New Roman"/>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119FC38-7A77-48C8-9A9E-51739ECFCE68}"/>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A0D87528-A936-4C70-B734-8806D5941F90}"/>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BBAA6DE7-AA21-4A37-A377-7C16A05149A8}"/>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A12A3AE8-8EAC-43D5-82A3-214395B77E1C}"/>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C6AD53B5-0EBC-4D2B-AC1A-8ADAABE52B72}"/>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627282BF-3C86-4D34-BEFF-03C2F8DFAA65}"/>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Excluding removals</a:t>
          </a:r>
          <a:endParaRPr lang="en-AU" sz="12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622F2FF7-6F0F-4B7F-9322-2581A83B66EE}"/>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0C769E"/>
              </a:solidFill>
              <a:latin typeface="Times New Roman"/>
              <a:cs typeface="Times New Roman"/>
            </a:rPr>
            <a:t>Including</a:t>
          </a:r>
          <a:r>
            <a:rPr lang="en-US" sz="1200" b="1" i="0" u="none" strike="noStrike" baseline="0">
              <a:solidFill>
                <a:srgbClr val="0C769E"/>
              </a:solidFill>
              <a:latin typeface="Times New Roman"/>
              <a:cs typeface="Times New Roman"/>
            </a:rPr>
            <a:t> removals (</a:t>
          </a:r>
          <a:r>
            <a:rPr lang="en-US" sz="1200" b="1" i="0" u="none" strike="noStrike">
              <a:solidFill>
                <a:srgbClr val="0C769E"/>
              </a:solidFill>
              <a:latin typeface="Times New Roman"/>
              <a:cs typeface="Times New Roman"/>
            </a:rPr>
            <a:t>Net emissions)</a:t>
          </a:r>
          <a:endParaRPr lang="en-AU" sz="12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6260320-09A3-4A85-B538-03E1C8002E0E}"/>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6E93A7C8-1231-494D-A4B2-6435EE296095}"/>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A7ABEB87-732C-4110-9F49-635B9C930D9C}"/>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7A9DFCD6-354F-4DC0-AC0C-79D0D8176EE0}"/>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DFE36D00-C565-40A3-853E-49D79A8B26D6}"/>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Including</a:t>
          </a:r>
          <a:r>
            <a:rPr lang="en-US" sz="1200" b="1" i="0" u="none" strike="noStrike" baseline="0">
              <a:solidFill>
                <a:srgbClr val="4F4789"/>
              </a:solidFill>
              <a:latin typeface="Times New Roman"/>
              <a:cs typeface="Times New Roman"/>
            </a:rPr>
            <a:t> removals (</a:t>
          </a:r>
          <a:r>
            <a:rPr lang="en-US" sz="1200" b="1" i="0" u="none" strike="noStrike">
              <a:solidFill>
                <a:srgbClr val="4F4789"/>
              </a:solidFill>
              <a:latin typeface="Times New Roman"/>
              <a:cs typeface="Times New Roman"/>
            </a:rPr>
            <a:t>Net emissions)</a:t>
          </a:r>
          <a:endParaRPr lang="en-AU" sz="12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92AA1009-2D5B-4D65-AFB9-238713C7CDBB}"/>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1</a:t>
          </a:r>
          <a:endParaRPr lang="en-AU" sz="12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383F350A-F491-4B1E-8F6C-D675C3A83E4E}"/>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7646FA67-4297-4372-B223-6BD542F21F60}"/>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6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F41B62DE-975E-4D07-B304-F80B7633B754}"/>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9651F736-7D84-4B5E-85E0-567A855476CF}"/>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1" i="0" u="none" strike="noStrike">
              <a:solidFill>
                <a:srgbClr val="4F4789"/>
              </a:solidFill>
              <a:latin typeface="Times New Roman"/>
              <a:cs typeface="Times New Roman"/>
            </a:rPr>
            <a:t>Excluding removals</a:t>
          </a:r>
          <a:endParaRPr lang="en-AU" sz="12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27674019-B56E-44A5-9E02-AD4A76367199}"/>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200" b="0" i="0" u="none" strike="noStrike">
              <a:solidFill>
                <a:schemeClr val="bg2">
                  <a:lumMod val="50000"/>
                </a:schemeClr>
              </a:solidFill>
              <a:latin typeface="Times New Roman"/>
              <a:cs typeface="Times New Roman"/>
            </a:rPr>
            <a:t>Method 2</a:t>
          </a:r>
          <a:endParaRPr lang="en-AU" sz="12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5EFDD5AC-6929-4EFA-B107-5A80D33BB742}"/>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FB61A9E9-8D02-4583-95EE-20CB78A3D6F2}"/>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49D16235-366F-41AA-86CA-221B92F7E305}"/>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26A80387-390D-4364-A3D1-879279F6AB3E}"/>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03A9E52-D0BB-4B90-B515-4338C98F1A3A}"/>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A7154D4B-6532-4827-A858-06228134784A}"/>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5FC31ABD-E0E2-4051-9433-F568AF3A7F34}"/>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AAF44FA9-3B7E-4F00-A78C-61984CFA77C8}"/>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00FF77AD-FE62-4281-9EAB-92AE0B68F507}"/>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1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FDD776B0-6BD5-4A9C-A8F8-21088F62BA87}"/>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5047ED-CBF8-4719-9134-5BB20C92AD4F}"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683A1B7D-E638-41A7-8E76-A98B56DAD3A6}"/>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B499BF7-EBD0-4E79-A816-6137BC9BCCC9}" type="TxLink">
            <a:rPr lang="en-US" sz="2800" b="1" i="0" u="none" strike="noStrike">
              <a:solidFill>
                <a:srgbClr val="4F4789"/>
              </a:solidFill>
              <a:latin typeface="Times New Roman"/>
              <a:ea typeface="+mn-ea"/>
              <a:cs typeface="Times New Roman"/>
            </a:rPr>
            <a:pPr marL="0" indent="0"/>
            <a:t>#N/A</a:t>
          </a:fld>
          <a:endParaRPr lang="en-AU" sz="2800" b="1" i="0" u="none" strike="noStrike">
            <a:solidFill>
              <a:srgbClr val="4F4789"/>
            </a:solidFill>
            <a:latin typeface="Times New Roman"/>
            <a:ea typeface="+mn-ea"/>
            <a:cs typeface="Times New Roman"/>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704B110F-434F-48F6-9C99-23652D2F1A99}"/>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Milk sold</a:t>
          </a:r>
        </a:p>
      </xdr:txBody>
    </xdr:sp>
    <xdr:clientData/>
  </xdr:twoCellAnchor>
  <xdr:twoCellAnchor editAs="oneCell">
    <xdr:from>
      <xdr:col>3</xdr:col>
      <xdr:colOff>113741</xdr:colOff>
      <xdr:row>4</xdr:row>
      <xdr:rowOff>38099</xdr:rowOff>
    </xdr:from>
    <xdr:to>
      <xdr:col>3</xdr:col>
      <xdr:colOff>954995</xdr:colOff>
      <xdr:row>7</xdr:row>
      <xdr:rowOff>89088</xdr:rowOff>
    </xdr:to>
    <xdr:pic>
      <xdr:nvPicPr>
        <xdr:cNvPr id="75" name="Picture 74">
          <a:extLst>
            <a:ext uri="{FF2B5EF4-FFF2-40B4-BE49-F238E27FC236}">
              <a16:creationId xmlns:a16="http://schemas.microsoft.com/office/drawing/2014/main" id="{485FBA4E-4C13-4DC8-9363-BC4F7B4E129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449" r="5449"/>
        <a:stretch/>
      </xdr:blipFill>
      <xdr:spPr>
        <a:xfrm>
          <a:off x="2790266" y="1162049"/>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80F76DBA-A216-4C00-9FE7-C57A9F30E72D}"/>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a:t>Liveweight sold</a:t>
          </a:r>
        </a:p>
      </xdr:txBody>
    </xdr:sp>
    <xdr:clientData/>
  </xdr:twoCellAnchor>
  <xdr:twoCellAnchor editAs="oneCell">
    <xdr:from>
      <xdr:col>8</xdr:col>
      <xdr:colOff>660061</xdr:colOff>
      <xdr:row>4</xdr:row>
      <xdr:rowOff>0</xdr:rowOff>
    </xdr:from>
    <xdr:to>
      <xdr:col>8</xdr:col>
      <xdr:colOff>1587703</xdr:colOff>
      <xdr:row>7</xdr:row>
      <xdr:rowOff>136712</xdr:rowOff>
    </xdr:to>
    <xdr:pic>
      <xdr:nvPicPr>
        <xdr:cNvPr id="77" name="Picture 76">
          <a:extLst>
            <a:ext uri="{FF2B5EF4-FFF2-40B4-BE49-F238E27FC236}">
              <a16:creationId xmlns:a16="http://schemas.microsoft.com/office/drawing/2014/main" id="{FD1C4F22-2E79-4681-92AB-AFA0F61510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444" b="1444"/>
        <a:stretch/>
      </xdr:blipFill>
      <xdr:spPr>
        <a:xfrm flipH="1">
          <a:off x="15109486" y="112395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A77066F2-41B1-4020-99E9-DE2BF39F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86</xdr:row>
      <xdr:rowOff>52387</xdr:rowOff>
    </xdr:from>
    <xdr:ext cx="4845044" cy="23410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0B8245-4BB2-4CB9-B473-9F4A7F0C4B54}"/>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850B8245-4BB2-4CB9-B473-9F4A7F0C4B54}"/>
                </a:ext>
              </a:extLst>
            </xdr:cNvPr>
            <xdr:cNvSpPr txBox="1"/>
          </xdr:nvSpPr>
          <xdr:spPr>
            <a:xfrm>
              <a:off x="2671762" y="2148363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33337</xdr:colOff>
      <xdr:row>57</xdr:row>
      <xdr:rowOff>214312</xdr:rowOff>
    </xdr:from>
    <xdr:ext cx="1461105" cy="3705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9A2F16D-84D9-4549-85DC-DBAC8A0EB27D}"/>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59A2F16D-84D9-4549-85DC-DBAC8A0EB27D}"/>
                </a:ext>
              </a:extLst>
            </xdr:cNvPr>
            <xdr:cNvSpPr txBox="1"/>
          </xdr:nvSpPr>
          <xdr:spPr>
            <a:xfrm>
              <a:off x="2709862" y="144637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9C08276-797D-4D88-AA6E-A9C89A81C95D}"/>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4" name="TextBox 3">
              <a:extLst>
                <a:ext uri="{FF2B5EF4-FFF2-40B4-BE49-F238E27FC236}">
                  <a16:creationId xmlns:a16="http://schemas.microsoft.com/office/drawing/2014/main" id="{99C08276-797D-4D88-AA6E-A9C89A81C95D}"/>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41462</xdr:colOff>
      <xdr:row>121</xdr:row>
      <xdr:rowOff>125505</xdr:rowOff>
    </xdr:from>
    <xdr:ext cx="1353126"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61DEC2F-F26F-4782-B42C-B3452152BD73}"/>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761DEC2F-F26F-4782-B42C-B3452152BD73}"/>
                </a:ext>
              </a:extLst>
            </xdr:cNvPr>
            <xdr:cNvSpPr txBox="1"/>
          </xdr:nvSpPr>
          <xdr:spPr>
            <a:xfrm>
              <a:off x="2717987" y="30224505"/>
              <a:ext cx="1353126"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𝑀_𝑗=20.7×𝐼_𝑗×10^(−3)</a:t>
              </a:r>
              <a:endParaRPr lang="en-AU" sz="1100"/>
            </a:p>
          </xdr:txBody>
        </xdr:sp>
      </mc:Fallback>
    </mc:AlternateContent>
    <xdr:clientData/>
  </xdr:oneCellAnchor>
  <xdr:oneCellAnchor>
    <xdr:from>
      <xdr:col>3</xdr:col>
      <xdr:colOff>1022</xdr:colOff>
      <xdr:row>139</xdr:row>
      <xdr:rowOff>162728</xdr:rowOff>
    </xdr:from>
    <xdr:ext cx="7606378"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249CCEC-A587-4168-BD27-5FE52150250D}"/>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6249CCEC-A587-4168-BD27-5FE52150250D}"/>
                </a:ext>
              </a:extLst>
            </xdr:cNvPr>
            <xdr:cNvSpPr txBox="1"/>
          </xdr:nvSpPr>
          <xdr:spPr>
            <a:xfrm>
              <a:off x="2677547" y="34719428"/>
              <a:ext cx="760637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𝐸_𝑒𝑛𝑡𝑒𝑟𝑖𝑐=∑2_𝑗▒((𝑁_(𝑗=1,2,4)×𝑀_(𝑗=1,2,4)×𝐷_(𝑗=1,2,4) )+(𝑁_(𝑗=3,5)×𝑀_(𝑗=3,5)×𝐷_(𝑗=3,5) )+(𝑁_(𝑗=3,5)×𝑀𝑃𝑊_(𝐸𝑁𝑇𝐸𝑅𝐼𝐶,𝑗=3,5)×𝐷𝑃𝑊_(𝑗=3,5) )) ×10^(−3)</a:t>
              </a:r>
              <a:endParaRPr lang="en-AU" sz="1100"/>
            </a:p>
          </xdr:txBody>
        </xdr:sp>
      </mc:Fallback>
    </mc:AlternateContent>
    <xdr:clientData/>
  </xdr:oneCellAnchor>
  <xdr:oneCellAnchor>
    <xdr:from>
      <xdr:col>2</xdr:col>
      <xdr:colOff>309776</xdr:colOff>
      <xdr:row>141</xdr:row>
      <xdr:rowOff>211708</xdr:rowOff>
    </xdr:from>
    <xdr:ext cx="8183202"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2AFB460-D72B-4815-9160-BB6751E1CBC8}"/>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1" i="1">
                            <a:solidFill>
                              <a:srgbClr val="C00000"/>
                            </a:solidFill>
                            <a:latin typeface="Cambria Math" panose="02040503050406030204" pitchFamily="18" charset="0"/>
                          </a:rPr>
                        </m:ctrlPr>
                      </m:sSubPr>
                      <m:e>
                        <m:r>
                          <a:rPr lang="en-AU" sz="1100" b="1" i="1">
                            <a:solidFill>
                              <a:srgbClr val="C00000"/>
                            </a:solidFill>
                            <a:latin typeface="Cambria Math" panose="02040503050406030204" pitchFamily="18" charset="0"/>
                          </a:rPr>
                          <m:t>𝑶𝑹𝑰𝑮𝑰𝑵𝑨𝑳</m:t>
                        </m:r>
                        <m:r>
                          <a:rPr lang="en-AU" sz="1100" b="1"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𝐸𝑁𝑇𝐸𝑅𝐼𝐶</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F2AFB460-D72B-4815-9160-BB6751E1CBC8}"/>
                </a:ext>
              </a:extLst>
            </xdr:cNvPr>
            <xdr:cNvSpPr txBox="1"/>
          </xdr:nvSpPr>
          <xdr:spPr>
            <a:xfrm>
              <a:off x="2671976" y="35263708"/>
              <a:ext cx="818320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1" i="0">
                  <a:solidFill>
                    <a:srgbClr val="C00000"/>
                  </a:solidFill>
                  <a:latin typeface="Cambria Math" panose="02040503050406030204" pitchFamily="18" charset="0"/>
                </a:rPr>
                <a:t>〖𝑶𝑹𝑰𝑮𝑰𝑵𝑨𝑳: </a:t>
              </a:r>
              <a:r>
                <a:rPr lang="en-AU" sz="1100" i="0">
                  <a:latin typeface="Cambria Math" panose="02040503050406030204" pitchFamily="18" charset="0"/>
                </a:rPr>
                <a:t>𝐸</a:t>
              </a:r>
              <a:r>
                <a:rPr lang="en-AU" sz="1100" b="1" i="0">
                  <a:solidFill>
                    <a:srgbClr val="C00000"/>
                  </a:solidFill>
                  <a:latin typeface="Cambria Math" panose="02040503050406030204" pitchFamily="18" charset="0"/>
                </a:rPr>
                <a:t>〗_</a:t>
              </a:r>
              <a:r>
                <a:rPr lang="en-AU" sz="1100" i="0">
                  <a:latin typeface="Cambria Math" panose="02040503050406030204" pitchFamily="18" charset="0"/>
                </a:rPr>
                <a:t>𝑒𝑛𝑡𝑒𝑟𝑖𝑐=∑2_𝑗▒((𝑁_(𝑗=1,2,4)×𝑀_(𝑗=1,2,4)×𝐷_(𝑗=1,2,4) )+(𝑁_(𝑗=3,5)×𝑀_(𝑗=3,5)×𝐷_(𝑗=3,5) )+(𝑁_(𝑗=3,5)×𝑀𝑃𝑊_(𝐸𝑁𝑇𝐸𝑅𝐼𝐶,𝑗=3,5)×𝐷_(𝑗=3,5)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CD90209-ED36-4421-A663-F2BBC6B62AAF}"/>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8" name="TextBox 7">
              <a:extLst>
                <a:ext uri="{FF2B5EF4-FFF2-40B4-BE49-F238E27FC236}">
                  <a16:creationId xmlns:a16="http://schemas.microsoft.com/office/drawing/2014/main" id="{3CD90209-ED36-4421-A663-F2BBC6B62AAF}"/>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2D1ED7-7C8E-43CA-B2D0-C1831605656C}"/>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3B2D1ED7-7C8E-43CA-B2D0-C1831605656C}"/>
                </a:ext>
              </a:extLst>
            </xdr:cNvPr>
            <xdr:cNvSpPr txBox="1"/>
          </xdr:nvSpPr>
          <xdr:spPr>
            <a:xfrm>
              <a:off x="2690812" y="2994183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ADABA5-711A-4DF0-B781-C9BF7AAE18D1}"/>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68ADABA5-711A-4DF0-B781-C9BF7AAE18D1}"/>
                </a:ext>
              </a:extLst>
            </xdr:cNvPr>
            <xdr:cNvSpPr txBox="1"/>
          </xdr:nvSpPr>
          <xdr:spPr>
            <a:xfrm>
              <a:off x="2671762" y="212359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7369B6A-8FCD-4BA7-810D-C2BC98480723}"/>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D7369B6A-8FCD-4BA7-810D-C2BC98480723}"/>
                </a:ext>
              </a:extLst>
            </xdr:cNvPr>
            <xdr:cNvSpPr txBox="1"/>
          </xdr:nvSpPr>
          <xdr:spPr>
            <a:xfrm>
              <a:off x="2690812" y="1404461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DAEDB0-3626-4CD7-BC37-888C67FEEAC1}"/>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5" name="TextBox 4">
              <a:extLst>
                <a:ext uri="{FF2B5EF4-FFF2-40B4-BE49-F238E27FC236}">
                  <a16:creationId xmlns:a16="http://schemas.microsoft.com/office/drawing/2014/main" id="{B2DAEDB0-3626-4CD7-BC37-888C67FEEAC1}"/>
                </a:ext>
              </a:extLst>
            </xdr:cNvPr>
            <xdr:cNvSpPr txBox="1"/>
          </xdr:nvSpPr>
          <xdr:spPr>
            <a:xfrm>
              <a:off x="2700337" y="2243137"/>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45ED67D4-B5D0-4F21-8EDB-1CFF5A9E7C3B}"/>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6" name="TextBox 5">
              <a:extLst>
                <a:ext uri="{FF2B5EF4-FFF2-40B4-BE49-F238E27FC236}">
                  <a16:creationId xmlns:a16="http://schemas.microsoft.com/office/drawing/2014/main" id="{45ED67D4-B5D0-4F21-8EDB-1CFF5A9E7C3B}"/>
                </a:ext>
              </a:extLst>
            </xdr:cNvPr>
            <xdr:cNvSpPr txBox="1"/>
          </xdr:nvSpPr>
          <xdr:spPr>
            <a:xfrm>
              <a:off x="2690812" y="346852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AEF3290-4279-4BEA-B4C5-C2C52D6F8F1F}"/>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4AEF3290-4279-4BEA-B4C5-C2C52D6F8F1F}"/>
                </a:ext>
              </a:extLst>
            </xdr:cNvPr>
            <xdr:cNvSpPr txBox="1"/>
          </xdr:nvSpPr>
          <xdr:spPr>
            <a:xfrm>
              <a:off x="10425112" y="4635341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E223948-A801-46A6-A8C8-EA322249B73D}"/>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5E223948-A801-46A6-A8C8-EA322249B73D}"/>
                </a:ext>
              </a:extLst>
            </xdr:cNvPr>
            <xdr:cNvSpPr txBox="1"/>
          </xdr:nvSpPr>
          <xdr:spPr>
            <a:xfrm>
              <a:off x="2638425" y="463248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0A1E89-BD5A-4488-AB38-1DBB9067F35E}"/>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9" name="TextBox 8">
              <a:extLst>
                <a:ext uri="{FF2B5EF4-FFF2-40B4-BE49-F238E27FC236}">
                  <a16:creationId xmlns:a16="http://schemas.microsoft.com/office/drawing/2014/main" id="{630A1E89-BD5A-4488-AB38-1DBB9067F35E}"/>
                </a:ext>
              </a:extLst>
            </xdr:cNvPr>
            <xdr:cNvSpPr txBox="1"/>
          </xdr:nvSpPr>
          <xdr:spPr>
            <a:xfrm>
              <a:off x="2681287" y="5279231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A245B61-2187-46E8-9738-F56D7ACC0016}"/>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8A245B61-2187-46E8-9738-F56D7ACC0016}"/>
                </a:ext>
              </a:extLst>
            </xdr:cNvPr>
            <xdr:cNvSpPr txBox="1"/>
          </xdr:nvSpPr>
          <xdr:spPr>
            <a:xfrm>
              <a:off x="2690812" y="6270783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FBEEAB3-B12E-427E-BACB-6938BBC0C21E}"/>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44340"/>
                            </a:solidFill>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9FBEEAB3-B12E-427E-BACB-6938BBC0C21E}"/>
                </a:ext>
              </a:extLst>
            </xdr:cNvPr>
            <xdr:cNvSpPr txBox="1"/>
          </xdr:nvSpPr>
          <xdr:spPr>
            <a:xfrm>
              <a:off x="10872787" y="6268878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44340"/>
                  </a:solidFill>
                  <a:latin typeface="Cambria Math" panose="02040503050406030204" pitchFamily="18" charset="0"/>
                </a:rPr>
                <a:t>〗_</a:t>
              </a:r>
              <a:r>
                <a:rPr lang="en-AU" sz="1100" i="0">
                  <a:latin typeface="Cambria Math" panose="02040503050406030204" pitchFamily="18" charset="0"/>
                </a:rPr>
                <a:t>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4BD20102-1E07-4872-91EC-899A602E91C8}"/>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12" name="TextBox 11">
              <a:extLst>
                <a:ext uri="{FF2B5EF4-FFF2-40B4-BE49-F238E27FC236}">
                  <a16:creationId xmlns:a16="http://schemas.microsoft.com/office/drawing/2014/main" id="{4BD20102-1E07-4872-91EC-899A602E91C8}"/>
                </a:ext>
              </a:extLst>
            </xdr:cNvPr>
            <xdr:cNvSpPr txBox="1"/>
          </xdr:nvSpPr>
          <xdr:spPr>
            <a:xfrm>
              <a:off x="2686050" y="779145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28417F-284A-4FF9-A6B6-FC8841B038FA}"/>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7E28417F-284A-4FF9-A6B6-FC8841B038FA}"/>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2210EAC-4AA9-4566-8449-7E7D881B6708}"/>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3" name="TextBox 2">
              <a:extLst>
                <a:ext uri="{FF2B5EF4-FFF2-40B4-BE49-F238E27FC236}">
                  <a16:creationId xmlns:a16="http://schemas.microsoft.com/office/drawing/2014/main" id="{22210EAC-4AA9-4566-8449-7E7D881B6708}"/>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40355F9-A39C-4BFA-A2B4-7329DA6DCAC6}"/>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4" name="TextBox 3">
              <a:extLst>
                <a:ext uri="{FF2B5EF4-FFF2-40B4-BE49-F238E27FC236}">
                  <a16:creationId xmlns:a16="http://schemas.microsoft.com/office/drawing/2014/main" id="{740355F9-A39C-4BFA-A2B4-7329DA6DCAC6}"/>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9ECDAF0-D3A9-41B7-89BD-DBF8A8F106B6}"/>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59ECDAF0-D3A9-41B7-89BD-DBF8A8F106B6}"/>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FD1E3A5-B1F2-4470-9962-A09E57878357}"/>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6" name="TextBox 5">
              <a:extLst>
                <a:ext uri="{FF2B5EF4-FFF2-40B4-BE49-F238E27FC236}">
                  <a16:creationId xmlns:a16="http://schemas.microsoft.com/office/drawing/2014/main" id="{9FD1E3A5-B1F2-4470-9962-A09E57878357}"/>
                </a:ext>
              </a:extLst>
            </xdr:cNvPr>
            <xdr:cNvSpPr txBox="1"/>
          </xdr:nvSpPr>
          <xdr:spPr>
            <a:xfrm>
              <a:off x="2705100" y="3294221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E2FC16E-875A-4079-A1AC-544690B24FF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7" name="TextBox 6">
              <a:extLst>
                <a:ext uri="{FF2B5EF4-FFF2-40B4-BE49-F238E27FC236}">
                  <a16:creationId xmlns:a16="http://schemas.microsoft.com/office/drawing/2014/main" id="{0E2FC16E-875A-4079-A1AC-544690B24FFD}"/>
                </a:ext>
              </a:extLst>
            </xdr:cNvPr>
            <xdr:cNvSpPr txBox="1"/>
          </xdr:nvSpPr>
          <xdr:spPr>
            <a:xfrm>
              <a:off x="8505825" y="381428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0527C07-726E-4E00-8634-8B653BF3DFCE}"/>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50527C07-726E-4E00-8634-8B653BF3DFCE}"/>
                </a:ext>
              </a:extLst>
            </xdr:cNvPr>
            <xdr:cNvSpPr txBox="1"/>
          </xdr:nvSpPr>
          <xdr:spPr>
            <a:xfrm>
              <a:off x="2705100" y="381619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4403662-D7EF-4DCA-9340-4BBAD5072E4D}"/>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9" name="TextBox 8">
              <a:extLst>
                <a:ext uri="{FF2B5EF4-FFF2-40B4-BE49-F238E27FC236}">
                  <a16:creationId xmlns:a16="http://schemas.microsoft.com/office/drawing/2014/main" id="{34403662-D7EF-4DCA-9340-4BBAD5072E4D}"/>
                </a:ext>
              </a:extLst>
            </xdr:cNvPr>
            <xdr:cNvSpPr txBox="1"/>
          </xdr:nvSpPr>
          <xdr:spPr>
            <a:xfrm>
              <a:off x="8258175" y="4558188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CD59168-03A2-4016-98B3-55B407C3AF80}"/>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BCD59168-03A2-4016-98B3-55B407C3AF80}"/>
                </a:ext>
              </a:extLst>
            </xdr:cNvPr>
            <xdr:cNvSpPr txBox="1"/>
          </xdr:nvSpPr>
          <xdr:spPr>
            <a:xfrm>
              <a:off x="2676525" y="4559141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C67718B-EE01-422B-AEB6-0CF46A77939F}"/>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11" name="TextBox 10">
              <a:extLst>
                <a:ext uri="{FF2B5EF4-FFF2-40B4-BE49-F238E27FC236}">
                  <a16:creationId xmlns:a16="http://schemas.microsoft.com/office/drawing/2014/main" id="{EC67718B-EE01-422B-AEB6-0CF46A77939F}"/>
                </a:ext>
              </a:extLst>
            </xdr:cNvPr>
            <xdr:cNvSpPr txBox="1"/>
          </xdr:nvSpPr>
          <xdr:spPr>
            <a:xfrm>
              <a:off x="2703857" y="544871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91560063-433C-4EB5-8D80-9FCF533D8F65}"/>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2" name="TextBox 11">
              <a:extLst>
                <a:ext uri="{FF2B5EF4-FFF2-40B4-BE49-F238E27FC236}">
                  <a16:creationId xmlns:a16="http://schemas.microsoft.com/office/drawing/2014/main" id="{91560063-433C-4EB5-8D80-9FCF533D8F65}"/>
                </a:ext>
              </a:extLst>
            </xdr:cNvPr>
            <xdr:cNvSpPr txBox="1"/>
          </xdr:nvSpPr>
          <xdr:spPr>
            <a:xfrm>
              <a:off x="2687291" y="63658473"/>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08FD75E-FDE3-4A61-B4E4-D3BCBD7AB7BA}"/>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08FD75E-FDE3-4A61-B4E4-D3BCBD7AB7BA}"/>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𝑀𝑁_𝐴𝑇𝑀𝑂𝑆=∑2_𝑗▒∑2_𝑚▒(𝑀𝑁_𝑗𝑚×𝐹𝑟𝑎𝑐𝐺𝐴𝑆𝑀_𝑚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CF950C-5741-4DFD-AE5C-9F3C7B496EE3}"/>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07CF950C-5741-4DFD-AE5C-9F3C7B496EE3}"/>
                </a:ext>
              </a:extLst>
            </xdr:cNvPr>
            <xdr:cNvSpPr txBox="1"/>
          </xdr:nvSpPr>
          <xdr:spPr>
            <a:xfrm>
              <a:off x="2671762" y="138826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BE6D211-0E9C-4B5A-94FC-DF6E3E882AFE}"/>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BE6D211-0E9C-4B5A-94FC-DF6E3E882AFE}"/>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624BC22-BD6D-45C0-B0E6-85C468965870}"/>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624BC22-BD6D-45C0-B0E6-85C468965870}"/>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𝐸_(𝑁2𝑂,𝑙𝑒𝑎𝑐ℎ)=∑2_𝑗▒∑2_(𝑚=1−13)▒(𝑀𝑁𝐿𝑒𝑎𝑐ℎ_𝑗𝑚×𝐸𝐹_𝑙𝑒𝑎𝑐ℎ×𝐶_𝑁2𝑂 ) ×10^(−3)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9786610-6E92-47A0-8E3A-62B642C40704}"/>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29786610-6E92-47A0-8E3A-62B642C40704}"/>
                </a:ext>
              </a:extLst>
            </xdr:cNvPr>
            <xdr:cNvSpPr txBox="1"/>
          </xdr:nvSpPr>
          <xdr:spPr>
            <a:xfrm>
              <a:off x="2657475" y="1960189"/>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53030F6-25CB-45B2-AAC2-CF457D855F8D}"/>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E53030F6-25CB-45B2-AAC2-CF457D855F8D}"/>
                </a:ext>
              </a:extLst>
            </xdr:cNvPr>
            <xdr:cNvSpPr txBox="1"/>
          </xdr:nvSpPr>
          <xdr:spPr>
            <a:xfrm>
              <a:off x="2689970" y="22778196"/>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27B6310-72B0-47BD-8DBC-C71AC41D9BF6}"/>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227B6310-72B0-47BD-8DBC-C71AC41D9BF6}"/>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020C89D-93C9-4190-894D-E3F752D72A48}"/>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5020C89D-93C9-4190-894D-E3F752D72A48}"/>
                </a:ext>
              </a:extLst>
            </xdr:cNvPr>
            <xdr:cNvSpPr txBox="1"/>
          </xdr:nvSpPr>
          <xdr:spPr>
            <a:xfrm>
              <a:off x="2703857" y="198534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8EFAE9-C31C-48B4-8245-D61336E6DEC9}"/>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98EFAE9-C31C-48B4-8245-D61336E6DEC9}"/>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𝑀_(𝑣𝑜𝑙,𝑚=14)=∑2_𝑗▒(𝑀𝑁_(𝑗𝑚=14)×𝐹𝑟𝑎𝑐𝐺𝐴𝑆𝑀𝑠𝑜𝑖𝑙)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707BD7-2E8E-4904-9D80-B16FE90DA2BF}"/>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0707BD7-2E8E-4904-9D80-B16FE90DA2BF}"/>
                </a:ext>
              </a:extLst>
            </xdr:cNvPr>
            <xdr:cNvSpPr txBox="1"/>
          </xdr:nvSpPr>
          <xdr:spPr>
            <a:xfrm>
              <a:off x="2681287" y="81772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6E669C-CDF3-46F7-97BC-0ED718A499C6}"/>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96E669C-CDF3-46F7-97BC-0ED718A499C6}"/>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𝑀_(𝑙𝑒𝑎𝑐ℎ,𝑚=14)=∑2_𝑗▒(𝑀𝑁_(𝑗𝑚=14)×𝐹𝑟𝑎𝑐𝑊𝑒𝑡×𝐹𝑟𝑎𝑐𝐿𝐸𝐴𝐶𝐻) </a:t>
              </a:r>
              <a:endParaRPr lang="en-AU" sz="1100"/>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C843937-5C20-4133-AFC1-CBF441CB1525}"/>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C843937-5C20-4133-AFC1-CBF441CB1525}"/>
                </a:ext>
              </a:extLst>
            </xdr:cNvPr>
            <xdr:cNvSpPr txBox="1"/>
          </xdr:nvSpPr>
          <xdr:spPr>
            <a:xfrm>
              <a:off x="2695575" y="940593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39848B0-29F3-4C2E-A365-FFA3D6D0CDCA}"/>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39848B0-29F3-4C2E-A365-FFA3D6D0CDCA}"/>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E9B10F1-389A-4A16-8263-3A03B20C10B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E9B10F1-389A-4A16-8263-3A03B20C10B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B59ED7E-562F-41C7-BB83-731D1F305789}"/>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B59ED7E-562F-41C7-BB83-731D1F305789}"/>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FA546C7-35D9-45B6-9C0D-3217BA99C39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CFA546C7-35D9-45B6-9C0D-3217BA99C39A}"/>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7D9629A-F981-43E8-A7FD-D779DA6A8C2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67D9629A-F981-43E8-A7FD-D779DA6A8C2F}"/>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B1083998-0421-4F0B-9D4E-8AF2169C150E}"/>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B1083998-0421-4F0B-9D4E-8AF2169C150E}"/>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FFE89D4-8EF1-4CB4-8BDB-575B7E4B426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5FFE89D4-8EF1-4CB4-8BDB-575B7E4B426E}"/>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97055C-F0ED-4B9A-8491-AC63AF171EB8}"/>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E97055C-F0ED-4B9A-8491-AC63AF171EB8}"/>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E1942D5-E3F2-48B8-A91F-A1F54FDD6B9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6E1942D5-E3F2-48B8-A91F-A1F54FDD6B9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2231A35-0E8F-4329-A4FB-415A16208C96}"/>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2231A35-0E8F-4329-A4FB-415A16208C96}"/>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CCCF068-C1EA-4EB5-83BB-6F307634567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CCCF068-C1EA-4EB5-83BB-6F307634567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FBA245E-D152-40A8-8EF4-9035B892CB6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CFBA245E-D152-40A8-8EF4-9035B892CB6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869449B-21D8-4101-81E5-2CCE0CD08DF4}"/>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869449B-21D8-4101-81E5-2CCE0CD08DF4}"/>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EE746DB-F1A7-4099-ABC3-6F1BE940FF1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1EE746DB-F1A7-4099-ABC3-6F1BE940FF13}"/>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694B925-8185-4595-8E5F-DD7B565DEEFD}"/>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D694B925-8185-4595-8E5F-DD7B565DEEFD}"/>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68AC6BB-DF5F-4E00-9DBE-90DF5B05793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268AC6BB-DF5F-4E00-9DBE-90DF5B05793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FA32369-F203-4D08-B851-85694CF81A9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FA32369-F203-4D08-B851-85694CF81A9A}"/>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719FD5E-F1CA-43AF-AB2F-2A770946561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C719FD5E-F1CA-43AF-AB2F-2A7709465618}"/>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DA1484D-795E-40EA-8117-C672C26338E8}"/>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DA1484D-795E-40EA-8117-C672C26338E8}"/>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𝐸_𝑁2𝑂=∑2_𝑝▒(𝑀_𝑝×𝐸𝐹_𝑁𝑖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AB568CE-448C-42F8-BA50-0928AE707EE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2AB568CE-448C-42F8-BA50-0928AE707EE9}"/>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19EBA24-6A14-4224-AD72-58495F8F5BD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19EBA24-6A14-4224-AD72-58495F8F5BD8}"/>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43E8DEC-9A76-4323-95B7-84A358229DB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𝑙𝑒𝑎𝑐ℎ</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F43E8DEC-9A76-4323-95B7-84A358229DB9}"/>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759EDD-7EED-4591-9491-B0F5333FDB5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3759EDD-7EED-4591-9491-B0F5333FDB5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EA771A5-B21E-4FA2-89B9-AEB5FDCF4E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EA771A5-B21E-4FA2-89B9-AEB5FDCF4E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9C25734-331F-4FEA-9672-63E5F2A0B70F}"/>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9C25734-331F-4FEA-9672-63E5F2A0B70F}"/>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360DDD7-4896-423D-9E9E-D1A4122AF3A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A360DDD7-4896-423D-9E9E-D1A4122AF3A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E5B3568-13FB-46D9-B062-6650D9F8EA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4E5B3568-13FB-46D9-B062-6650D9F8EA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471B878-629F-4388-B074-E3784F0700F2}"/>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9471B878-629F-4388-B074-E3784F0700F2}"/>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D2CB42-ED28-46E3-BA12-6AEA2D02F5E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0D2CB42-ED28-46E3-BA12-6AEA2D02F5E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B81B8BD-FD8F-4FCE-BF7C-2316D07D099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B81B8BD-FD8F-4FCE-BF7C-2316D07D099A}"/>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2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0137DA0-FF5B-4D15-9C31-286DA99B4F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0137DA0-FF5B-4D15-9C31-286DA99B4FAA}"/>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D639F9-0DF1-4A51-8EA2-76359915252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62D639F9-0DF1-4A51-8EA2-76359915252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CD9DF8E-4B94-40FC-8DDA-95E145A5BF5F}"/>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BCD9DF8E-4B94-40FC-8DDA-95E145A5BF5F}"/>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91FECBB-0D11-4EC5-B335-7122ED66C92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891FECBB-0D11-4EC5-B335-7122ED66C928}"/>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23.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94E05CD-D24F-47C0-A666-FB46D085C9CA}"/>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94E05CD-D24F-47C0-A666-FB46D085C9CA}"/>
                </a:ext>
              </a:extLst>
            </xdr:cNvPr>
            <xdr:cNvSpPr txBox="1"/>
          </xdr:nvSpPr>
          <xdr:spPr>
            <a:xfrm>
              <a:off x="35389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28DF6E7-6ADA-42EE-AFCC-B50EDB01D4EC}"/>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828DF6E7-6ADA-42EE-AFCC-B50EDB01D4EC}"/>
                </a:ext>
              </a:extLst>
            </xdr:cNvPr>
            <xdr:cNvSpPr txBox="1"/>
          </xdr:nvSpPr>
          <xdr:spPr>
            <a:xfrm>
              <a:off x="3538912"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×10^(−3)</a:t>
              </a:r>
              <a:endParaRPr lang="en-AU" sz="11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2FC750E-79E1-430C-B858-3B23B5CEB017}"/>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2FC750E-79E1-430C-B858-3B23B5CEB017}"/>
                </a:ext>
              </a:extLst>
            </xdr:cNvPr>
            <xdr:cNvSpPr txBox="1"/>
          </xdr:nvSpPr>
          <xdr:spPr>
            <a:xfrm>
              <a:off x="3538912"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×10^(−3)</a:t>
              </a:r>
              <a:endParaRPr lang="en-AU" sz="11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0CCE38-C64F-4443-9297-DB30BE073AFA}"/>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0CCE38-C64F-4443-9297-DB30BE073AFA}"/>
                </a:ext>
              </a:extLst>
            </xdr:cNvPr>
            <xdr:cNvSpPr txBox="1"/>
          </xdr:nvSpPr>
          <xdr:spPr>
            <a:xfrm>
              <a:off x="3538912"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9CF91BD-BA10-4099-9906-B663C1CFE9D4}"/>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E9CF91BD-BA10-4099-9906-B663C1CFE9D4}"/>
                </a:ext>
              </a:extLst>
            </xdr:cNvPr>
            <xdr:cNvSpPr txBox="1"/>
          </xdr:nvSpPr>
          <xdr:spPr>
            <a:xfrm>
              <a:off x="782918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1B744DC-BF71-430F-9DB3-EAF12E3CE874}"/>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F1B744DC-BF71-430F-9DB3-EAF12E3CE874}"/>
                </a:ext>
              </a:extLst>
            </xdr:cNvPr>
            <xdr:cNvSpPr txBox="1"/>
          </xdr:nvSpPr>
          <xdr:spPr>
            <a:xfrm>
              <a:off x="3497745"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03ED9A1-248D-4E4F-A356-230D73393C14}"/>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603ED9A1-248D-4E4F-A356-230D73393C14}"/>
                </a:ext>
              </a:extLst>
            </xdr:cNvPr>
            <xdr:cNvSpPr txBox="1"/>
          </xdr:nvSpPr>
          <xdr:spPr>
            <a:xfrm>
              <a:off x="3514725"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63855B57-D971-4C2B-A5A4-A70D2B77395F}"/>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ℎ</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ℎ</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ℎ</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63855B57-D971-4C2B-A5A4-A70D2B77395F}"/>
                </a:ext>
              </a:extLst>
            </xdr:cNvPr>
            <xdr:cNvSpPr txBox="1"/>
          </xdr:nvSpPr>
          <xdr:spPr>
            <a:xfrm>
              <a:off x="3514726" y="67676246"/>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387F5811-7CB8-494C-948F-D5CD2A2296B4}"/>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387F5811-7CB8-494C-948F-D5CD2A2296B4}"/>
                </a:ext>
              </a:extLst>
            </xdr:cNvPr>
            <xdr:cNvSpPr txBox="1"/>
          </xdr:nvSpPr>
          <xdr:spPr>
            <a:xfrm>
              <a:off x="3525931" y="74249616"/>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EB9F6F24-C859-408E-BCE4-1323B6FD0CF1}"/>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EB9F6F24-C859-408E-BCE4-1323B6FD0CF1}"/>
                </a:ext>
              </a:extLst>
            </xdr:cNvPr>
            <xdr:cNvSpPr txBox="1"/>
          </xdr:nvSpPr>
          <xdr:spPr>
            <a:xfrm>
              <a:off x="3593166" y="811709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1E61C4C3-5039-46DF-8C3A-4BB89F1E7810}"/>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1E61C4C3-5039-46DF-8C3A-4BB89F1E7810}"/>
                </a:ext>
              </a:extLst>
            </xdr:cNvPr>
            <xdr:cNvSpPr txBox="1"/>
          </xdr:nvSpPr>
          <xdr:spPr>
            <a:xfrm>
              <a:off x="3559549" y="8782610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7501B18-221F-4E60-A845-A03BF20FA6CA}"/>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97501B18-221F-4E60-A845-A03BF20FA6CA}"/>
                </a:ext>
              </a:extLst>
            </xdr:cNvPr>
            <xdr:cNvSpPr txBox="1"/>
          </xdr:nvSpPr>
          <xdr:spPr>
            <a:xfrm>
              <a:off x="3537136" y="940666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B068E9F-F7D4-4315-B782-57AB141FA724}"/>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BB068E9F-F7D4-4315-B782-57AB141FA724}"/>
                </a:ext>
              </a:extLst>
            </xdr:cNvPr>
            <xdr:cNvSpPr txBox="1"/>
          </xdr:nvSpPr>
          <xdr:spPr>
            <a:xfrm>
              <a:off x="3524250" y="100860224"/>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6EF0321D-9538-4333-A536-2704D2E3AEFB}"/>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6EF0321D-9538-4333-A536-2704D2E3AEFB}"/>
                </a:ext>
              </a:extLst>
            </xdr:cNvPr>
            <xdr:cNvSpPr txBox="1"/>
          </xdr:nvSpPr>
          <xdr:spPr>
            <a:xfrm>
              <a:off x="3525932" y="119708519"/>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C12D1E86-0DF3-4DDB-A478-B7581F48019A}"/>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C12D1E86-0DF3-4DDB-A478-B7581F48019A}"/>
                </a:ext>
              </a:extLst>
            </xdr:cNvPr>
            <xdr:cNvSpPr txBox="1"/>
          </xdr:nvSpPr>
          <xdr:spPr>
            <a:xfrm>
              <a:off x="3525931" y="12283888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44307F13-90D2-4EE0-8879-47AD5FDEEA6B}"/>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00000"/>
                            </a:solidFill>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44307F13-90D2-4EE0-8879-47AD5FDEEA6B}"/>
                </a:ext>
              </a:extLst>
            </xdr:cNvPr>
            <xdr:cNvSpPr txBox="1"/>
          </xdr:nvSpPr>
          <xdr:spPr>
            <a:xfrm>
              <a:off x="10300318" y="126473595"/>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a:t>
              </a:r>
              <a:r>
                <a:rPr lang="en-AU" sz="1100" b="0" i="0">
                  <a:solidFill>
                    <a:srgbClr val="C00000"/>
                  </a:solidFill>
                  <a:latin typeface="Cambria Math" panose="02040503050406030204" pitchFamily="18" charset="0"/>
                </a:rPr>
                <a:t>〗_(</a:t>
              </a:r>
              <a:r>
                <a:rPr lang="en-AU" sz="1100" i="0">
                  <a:latin typeface="Cambria Math" panose="02040503050406030204" pitchFamily="18" charset="0"/>
                </a:rPr>
                <a:t>3,𝑒𝑙𝑒𝑐</a:t>
              </a:r>
              <a:r>
                <a:rPr lang="en-AU" sz="1100" b="0" i="0">
                  <a:solidFill>
                    <a:srgbClr val="C00000"/>
                  </a:solidFill>
                  <a:latin typeface="Cambria Math" panose="02040503050406030204" pitchFamily="18" charset="0"/>
                </a:rPr>
                <a:t>)</a:t>
              </a:r>
              <a:r>
                <a:rPr lang="en-AU" sz="11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F10CA0B-7BE4-41E5-B359-9B85509DBD4B}"/>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1F10CA0B-7BE4-41E5-B359-9B85509DBD4B}"/>
                </a:ext>
              </a:extLst>
            </xdr:cNvPr>
            <xdr:cNvSpPr txBox="1"/>
          </xdr:nvSpPr>
          <xdr:spPr>
            <a:xfrm>
              <a:off x="3501026" y="126493814"/>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5F1E332-5EA0-4D93-9A8F-B595BDEBF69C}"/>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𝑙𝑒𝑎𝑐ℎ</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C5F1E332-5EA0-4D93-9A8F-B595BDEBF69C}"/>
                </a:ext>
              </a:extLst>
            </xdr:cNvPr>
            <xdr:cNvSpPr txBox="1"/>
          </xdr:nvSpPr>
          <xdr:spPr>
            <a:xfrm>
              <a:off x="3487270" y="1307782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D7406293-4A98-42B1-8DC9-9645AC233141}"/>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D7406293-4A98-42B1-8DC9-9645AC233141}"/>
                </a:ext>
              </a:extLst>
            </xdr:cNvPr>
            <xdr:cNvSpPr txBox="1"/>
          </xdr:nvSpPr>
          <xdr:spPr>
            <a:xfrm>
              <a:off x="3525932" y="137744387"/>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A86E72FA-E6B7-46BD-8D4F-423D113CAE41}"/>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21" name="TextBox 20">
              <a:extLst>
                <a:ext uri="{FF2B5EF4-FFF2-40B4-BE49-F238E27FC236}">
                  <a16:creationId xmlns:a16="http://schemas.microsoft.com/office/drawing/2014/main" id="{A86E72FA-E6B7-46BD-8D4F-423D113CAE41}"/>
                </a:ext>
              </a:extLst>
            </xdr:cNvPr>
            <xdr:cNvSpPr txBox="1"/>
          </xdr:nvSpPr>
          <xdr:spPr>
            <a:xfrm>
              <a:off x="3521594"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D279031-9BFD-427C-AE8F-D566447B53ED}"/>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a14:m>
              <a:endParaRPr lang="en-AU" sz="1100"/>
            </a:p>
          </xdr:txBody>
        </xdr:sp>
      </mc:Choice>
      <mc:Fallback xmlns="">
        <xdr:sp macro="" textlink="">
          <xdr:nvSpPr>
            <xdr:cNvPr id="22" name="TextBox 21">
              <a:extLst>
                <a:ext uri="{FF2B5EF4-FFF2-40B4-BE49-F238E27FC236}">
                  <a16:creationId xmlns:a16="http://schemas.microsoft.com/office/drawing/2014/main" id="{BD279031-9BFD-427C-AE8F-D566447B53ED}"/>
                </a:ext>
              </a:extLst>
            </xdr:cNvPr>
            <xdr:cNvSpPr txBox="1"/>
          </xdr:nvSpPr>
          <xdr:spPr>
            <a:xfrm>
              <a:off x="8426598"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 </a:t>
              </a: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BE1F9C20-16FE-4E1B-8D06-96E2B2E8A25A}"/>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a14:m>
              <a:endParaRPr lang="en-AU" sz="1100"/>
            </a:p>
          </xdr:txBody>
        </xdr:sp>
      </mc:Choice>
      <mc:Fallback xmlns="">
        <xdr:sp macro="" textlink="">
          <xdr:nvSpPr>
            <xdr:cNvPr id="23" name="TextBox 22">
              <a:extLst>
                <a:ext uri="{FF2B5EF4-FFF2-40B4-BE49-F238E27FC236}">
                  <a16:creationId xmlns:a16="http://schemas.microsoft.com/office/drawing/2014/main" id="{BE1F9C20-16FE-4E1B-8D06-96E2B2E8A25A}"/>
                </a:ext>
              </a:extLst>
            </xdr:cNvPr>
            <xdr:cNvSpPr txBox="1"/>
          </xdr:nvSpPr>
          <xdr:spPr>
            <a:xfrm>
              <a:off x="626633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FF0000"/>
                  </a:solidFill>
                </a:rPr>
                <a:t>ORIGINAL:</a:t>
              </a:r>
              <a:r>
                <a:rPr lang="en-AU" sz="1100"/>
                <a:t> </a:t>
              </a:r>
              <a:r>
                <a:rPr lang="en-AU" sz="1100" i="0">
                  <a:latin typeface="Cambria Math" panose="02040503050406030204" pitchFamily="18" charset="0"/>
                </a:rPr>
                <a:t>𝐸=∑2_𝑚▒(𝑄_𝑚×𝐸𝐹_𝑚 ) </a:t>
              </a:r>
              <a:endParaRPr lang="en-AU" sz="1100"/>
            </a:p>
          </xdr:txBody>
        </xdr:sp>
      </mc:Fallback>
    </mc:AlternateContent>
    <xdr:clientData/>
  </xdr:oneCellAnchor>
</xdr:wsDr>
</file>

<file path=xl/drawings/drawing24.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8A05730-47A5-4485-B887-9E279BAF2C68}"/>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88A05730-47A5-4485-B887-9E279BAF2C68}"/>
                </a:ext>
              </a:extLst>
            </xdr:cNvPr>
            <xdr:cNvSpPr txBox="1"/>
          </xdr:nvSpPr>
          <xdr:spPr>
            <a:xfrm>
              <a:off x="35004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B6F5303-BF3F-45B5-BC91-6E3084B2180C}"/>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B6F5303-BF3F-45B5-BC91-6E3084B2180C}"/>
                </a:ext>
              </a:extLst>
            </xdr:cNvPr>
            <xdr:cNvSpPr txBox="1"/>
          </xdr:nvSpPr>
          <xdr:spPr>
            <a:xfrm>
              <a:off x="35004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6B40891-9ACC-410B-9D11-412572ABB231}"/>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F6B40891-9ACC-410B-9D11-412572ABB231}"/>
                </a:ext>
              </a:extLst>
            </xdr:cNvPr>
            <xdr:cNvSpPr txBox="1"/>
          </xdr:nvSpPr>
          <xdr:spPr>
            <a:xfrm>
              <a:off x="35099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ECFCDFD-3DA2-434E-B4E1-CAF4EE1175C0}"/>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ECFCDFD-3DA2-434E-B4E1-CAF4EE1175C0}"/>
                </a:ext>
              </a:extLst>
            </xdr:cNvPr>
            <xdr:cNvSpPr txBox="1"/>
          </xdr:nvSpPr>
          <xdr:spPr>
            <a:xfrm>
              <a:off x="33956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A37C21F-F0B5-42BA-B25C-10FC2C768FEC}"/>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A37C21F-F0B5-42BA-B25C-10FC2C768FEC}"/>
                </a:ext>
              </a:extLst>
            </xdr:cNvPr>
            <xdr:cNvSpPr txBox="1"/>
          </xdr:nvSpPr>
          <xdr:spPr>
            <a:xfrm>
              <a:off x="35099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30F0188-ACBD-406B-8058-ACB4BD5BB457}"/>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30F0188-ACBD-406B-8058-ACB4BD5BB457}"/>
                </a:ext>
              </a:extLst>
            </xdr:cNvPr>
            <xdr:cNvSpPr txBox="1"/>
          </xdr:nvSpPr>
          <xdr:spPr>
            <a:xfrm>
              <a:off x="208930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F76A1D9-6D84-4948-86AF-0E8273E618C4}"/>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FF76A1D9-6D84-4948-86AF-0E8273E618C4}"/>
                </a:ext>
              </a:extLst>
            </xdr:cNvPr>
            <xdr:cNvSpPr txBox="1"/>
          </xdr:nvSpPr>
          <xdr:spPr>
            <a:xfrm>
              <a:off x="208930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B56C9DF-DDBC-43A0-B7CB-E9FBA92805D2}"/>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CB56C9DF-DDBC-43A0-B7CB-E9FBA92805D2}"/>
                </a:ext>
              </a:extLst>
            </xdr:cNvPr>
            <xdr:cNvSpPr txBox="1"/>
          </xdr:nvSpPr>
          <xdr:spPr>
            <a:xfrm>
              <a:off x="209026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6E255DD-5663-4BF9-9972-43CD8D0DC623}"/>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B6E255DD-5663-4BF9-9972-43CD8D0DC623}"/>
                </a:ext>
              </a:extLst>
            </xdr:cNvPr>
            <xdr:cNvSpPr txBox="1"/>
          </xdr:nvSpPr>
          <xdr:spPr>
            <a:xfrm>
              <a:off x="207883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FB1340A-C97E-4F2F-95D6-01F1B3409BB4}"/>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FB1340A-C97E-4F2F-95D6-01F1B3409BB4}"/>
                </a:ext>
              </a:extLst>
            </xdr:cNvPr>
            <xdr:cNvSpPr txBox="1"/>
          </xdr:nvSpPr>
          <xdr:spPr>
            <a:xfrm>
              <a:off x="209026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9A8A72-3CE5-4227-BDCD-1353ACE6C13A}" name="Table_Input_Enterprise_PlantingRemovals" displayName="Table_Input_Enterprise_PlantingRemovals" ref="D39:G40" totalsRowShown="0">
  <autoFilter ref="D39:G40" xr:uid="{069A8A72-3CE5-4227-BDCD-1353ACE6C13A}"/>
  <tableColumns count="4">
    <tableColumn id="1" xr3:uid="{5836E445-9CFC-4A97-8DDE-4C249E943537}" name="Planting name" dataCellStyle="Input text"/>
    <tableColumn id="2" xr3:uid="{365B899D-C571-4ECB-96CB-13C89774EE3C}" name="Total removed CO2" dataCellStyle="Input number general"/>
    <tableColumn id="3" xr3:uid="{13C8816C-5A9D-4FC0-AFF7-A72C96BBC8FB}" name="Percent allocated to this enterprise" dataCellStyle="Input percent"/>
    <tableColumn id="4" xr3:uid="{E46B1659-4CAC-423C-A977-D1FEDC0B6B19}"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A1C81-FBB6-43DC-BB35-9A0347A24CF8}"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84D8E3C0-97CA-4CF1-A63F-3CF6AAE07330}" name="Transaction name" dataCellStyle="Input text"/>
    <tableColumn id="1" xr3:uid="{E41B3FA3-55C1-4BBF-A477-D8EDBC89025E}" name="Class (select)" dataCellStyle="Input select"/>
    <tableColumn id="2" xr3:uid="{3F9F09B6-E6B3-4323-AB6A-249C77DAFA51}" name="Sale date" dataDxfId="432"/>
    <tableColumn id="3" xr3:uid="{48DB24D2-2F89-4EEB-911F-2F24089C3918}" name="Head sold"/>
    <tableColumn id="4" xr3:uid="{879FC871-5C62-44BF-952F-ACBA1C3B6AE4}" name="Average weight per head (kg)"/>
    <tableColumn id="5" xr3:uid="{B8588D76-BACA-4516-8963-B7E8E5A87B93}"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DD6677F1-81DD-4BC3-921B-E4F538D8F8F2}" name="Table_Input_LivestockPurchases_Dairy" displayName="Table_Input_LivestockPurchases_Dairy" ref="D6:I16" totalsRowShown="0" headerRowDxfId="431">
  <autoFilter ref="D6:I16" xr:uid="{E938BFB3-949A-45DE-8033-0682BC494B81}"/>
  <tableColumns count="6">
    <tableColumn id="9" xr3:uid="{3CBBECEF-2F75-4353-B966-2DA4170F2B97}" name="Transaction name" dataCellStyle="Input text"/>
    <tableColumn id="11" xr3:uid="{12E5C950-1EB8-4E2B-8A9E-A9C0223B1828}" name="Class (select)" dataDxfId="430" dataCellStyle="Input select"/>
    <tableColumn id="2" xr3:uid="{142AE7A3-67B7-4736-8829-265AAE20478C}" name="Breed (select)" dataCellStyle="Input select"/>
    <tableColumn id="3" xr3:uid="{AE957121-CF86-4093-9B63-E9094FEB6D76}" name="Quantity (head)" dataCellStyle="Input number general"/>
    <tableColumn id="12" xr3:uid="{B105C8FE-FB61-4EF1-8F6E-DF672AC30111}" name="Liveweight (kg/head) Method 1" dataCellStyle="Input number general calculated"/>
    <tableColumn id="4" xr3:uid="{9E2CEF21-344B-48D1-9C7C-9C2DF157361D}"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D9197F4-A23C-4FB9-88D3-04F012BB5900}" name="Table_Input_InorganicFertiliser_Brands" displayName="Table_Input_InorganicFertiliser_Brands" ref="D11:Z21" headerRowDxfId="429" dataDxfId="428" totalsRowDxfId="427">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3B028D34-DF08-49FB-B709-DB7B381F6AD9}" name="Product (select)" dataDxfId="426" totalsRowDxfId="425" dataCellStyle="Input select"/>
    <tableColumn id="23" xr3:uid="{AEBF5077-2FA3-46E0-8F46-7CA32EFD4192}" name="Amount applied per hectare" totalsRowFunction="custom" dataDxfId="424" totalsRowDxfId="423">
      <totalsRowFormula>SUM(Table_Input_InorganicFertiliser_Brands[[#Headers],[#Data],[Amount applied per hectare]])</totalsRowFormula>
    </tableColumn>
    <tableColumn id="12" xr3:uid="{26D5B3F8-C1E5-4482-BD98-EE68391E1DE9}" name="Application unit" dataDxfId="422" totalsRowDxfId="421" dataCellStyle="Input number 2 decimal places"/>
    <tableColumn id="6" xr3:uid="{D819C382-43D0-4238-BC36-DA0239A9B941}" name="Application area (ha)" dataDxfId="420" totalsRowDxfId="419">
      <calculatedColumnFormula>X_Cell_Fertiliser_AreaUnderCropping</calculatedColumnFormula>
    </tableColumn>
    <tableColumn id="9" xr3:uid="{EA191473-D745-4AC6-9FE1-91D309F76549}" name="Density" dataDxfId="418" totalsRowDxfId="417" dataCellStyle="Input number general calculated"/>
    <tableColumn id="1" xr3:uid="{49D77168-5985-4CD6-998A-E92BDA17CB71}" name="Total applied (kg)" dataDxfId="416" totalsRowDxfId="41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8FCD01E3-934A-4788-96DC-37C525E82105}" name="Ingredient 1" dataDxfId="414" totalsRowDxfId="413" dataCellStyle="Input number general calculated"/>
    <tableColumn id="4" xr3:uid="{C06FD72B-4919-49C7-A016-ABB06D6BB4CD}" name="Ingredient 1 percent" dataDxfId="412" dataCellStyle="Input number general calculated"/>
    <tableColumn id="7" xr3:uid="{2A632962-D302-4677-8009-1C219E9B6A37}" name="Ingredient 2" dataDxfId="411" dataCellStyle="Input number general calculated"/>
    <tableColumn id="8" xr3:uid="{E8B37C77-5297-4B74-9200-C9174B04FBB8}" name="Ingredient 2 percent" dataDxfId="410" totalsRowDxfId="409" dataCellStyle="Input number general calculated"/>
    <tableColumn id="10" xr3:uid="{BA5F00CF-3701-4F45-B332-F4F2C98AF69C}" name="Ingredient 3" dataDxfId="408" totalsRowDxfId="407" dataCellStyle="Input number general calculated"/>
    <tableColumn id="11" xr3:uid="{572D76EB-F744-4AF1-8678-14F088B04C39}" name="Ingredient 3 percent" dataDxfId="406" totalsRowDxfId="405" dataCellStyle="Input number general calculated"/>
    <tableColumn id="13" xr3:uid="{5F4E66B9-E624-4406-AF59-516A1E149E23}" name="Ingredient 4" dataDxfId="404" totalsRowDxfId="403" dataCellStyle="Input number general calculated"/>
    <tableColumn id="14" xr3:uid="{36B838AB-8DCC-4B4B-A160-4C18AC24A551}" name="Ingredient 4 percent" dataDxfId="402" dataCellStyle="Input number general calculated"/>
    <tableColumn id="16" xr3:uid="{D0EDA6C5-51F2-43F6-835B-96CB0F329CE8}" name="Ingredient 5" dataDxfId="401" dataCellStyle="Input number general calculated"/>
    <tableColumn id="17" xr3:uid="{A97A4806-70C6-4105-8082-27856609C9C8}" name="Ingredient 5 percent" dataDxfId="400" dataCellStyle="Input number general calculated"/>
    <tableColumn id="19" xr3:uid="{98B1205D-5767-4F47-B8B3-A09628EEE70A}" name="Ingredient 6" dataDxfId="399" dataCellStyle="Input number general calculated"/>
    <tableColumn id="20" xr3:uid="{6B8315FB-4D29-46FB-A54A-A258F9CE12F5}" name="Ingredient 6 percent" dataDxfId="398" dataCellStyle="Input number general calculated"/>
    <tableColumn id="21" xr3:uid="{F8C53629-89FE-4070-8BA5-C2A584881DCD}" name="% N (Ingredients)" dataDxfId="397" dataCellStyle="Input number general calculated"/>
    <tableColumn id="22" xr3:uid="{10F523D0-6727-427C-A01E-73386B0A62C9}" name="% N (declared)" dataDxfId="396" dataCellStyle="Content normal"/>
    <tableColumn id="5" xr3:uid="{D2FDB7E0-C7E4-4897-BC26-5D88BDD73A05}" name="N application rate (kg/ha)" dataDxfId="395" totalsRowDxfId="394"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9D633FE8-5550-4DA6-8D13-1268EA25805E}" name="Urea source" dataDxfId="393" totalsRowDxfId="392" dataCellStyle="Input number general calculated"/>
    <tableColumn id="18" xr3:uid="{7FCEA69B-AFBE-420F-9FB4-401D2F87D0C8}" name="Ammonia source" dataDxfId="391" totalsRowDxfId="390"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BC57A84-C0B5-4752-8BBC-B6A977ECFA01}" name="Table_Input_InorganicFertiliser_Custom" displayName="Table_Input_InorganicFertiliser_Custom" ref="D24:R34" totalsRowShown="0" headerRowDxfId="389" dataDxfId="388">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8380D23-1493-40AD-BEDD-CCEAFAA8C589}" name="Custom blend name" dataCellStyle="Input text"/>
    <tableColumn id="2" xr3:uid="{6EBE0389-8B81-443F-AF59-C8DE1C432FF6}" name="Amount applied (kg / ha)" dataDxfId="387"/>
    <tableColumn id="3" xr3:uid="{7403CCF7-3352-4E70-8653-CF63BDF4B90D}" name="Application area (ha)" dataDxfId="386" dataCellStyle="Input number 2 decimal places">
      <calculatedColumnFormula>X_Cell_Fertiliser_AreaUnderCropping</calculatedColumnFormula>
    </tableColumn>
    <tableColumn id="4" xr3:uid="{2D24DEF7-9796-43BE-AC55-2C98BA900F95}" name="Total applied (kg)" dataDxfId="385" dataCellStyle="Input number general calculated">
      <calculatedColumnFormula>Table_Input_InorganicFertiliser_Custom[[#This Row],[Amount applied (kg / ha)]]*Table_Input_InorganicFertiliser_Custom[[#This Row],[Application area (ha)]]</calculatedColumnFormula>
    </tableColumn>
    <tableColumn id="5" xr3:uid="{DF1953FC-8B2C-4361-9744-60D9D6FDA3F9}" name="Ingredient 1 (select)" dataDxfId="384" dataCellStyle="Input select"/>
    <tableColumn id="6" xr3:uid="{FABABDE9-562C-4310-873C-18ABE087292B}" name="Ingredient 1 percent" dataDxfId="383"/>
    <tableColumn id="8" xr3:uid="{C7B1FBD6-D82F-4C31-8468-3C90CEEFAF3E}" name="Ingredient 2" dataDxfId="382" dataCellStyle="Input select"/>
    <tableColumn id="9" xr3:uid="{B476E846-3102-4814-8922-5D91D758A96B}" name="Ingredient 2 percent" dataDxfId="381"/>
    <tableColumn id="11" xr3:uid="{2D36AA48-6AFA-45CD-B391-C4F58F16BA90}" name="Ingredient 3" dataDxfId="380" dataCellStyle="Input select"/>
    <tableColumn id="12" xr3:uid="{2CC6C40A-3CB3-4BBC-A7D9-13DAA9491CB4}" name="Ingredient 3 percent" dataDxfId="379"/>
    <tableColumn id="14" xr3:uid="{9B18D5A2-4687-4E2A-AC9F-6A926CE5898B}" name="Ingredient 4" dataDxfId="378" dataCellStyle="Input select"/>
    <tableColumn id="15" xr3:uid="{5D6DD8D1-3C8D-450D-BDBA-5FA3443A3795}" name="Ingredient 4 percent" dataCellStyle="Input percent"/>
    <tableColumn id="7" xr3:uid="{6541B1F3-F8D3-41D3-9F55-E7FC8BB1B781}" name="N application rate (kg/ha)" dataDxfId="377" dataCellStyle="Input number general calculated"/>
    <tableColumn id="10" xr3:uid="{83B80CB7-5D0E-4DE0-BAE0-C8EED512C9DE}" name="Urea source (Select)" dataCellStyle="Input select"/>
    <tableColumn id="13" xr3:uid="{1FD66241-AEBF-4465-BF38-8970B2A22FA5}"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46AB649-0991-42EF-BFDF-8875E44E3499}" name="Table_Input_Lime" displayName="Table_Input_Lime" ref="D41:K44" totalsRowShown="0" headerRowDxfId="376" dataDxfId="375"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6686D1D-CD8A-44F8-B3EC-497779E2ECB4}" name="Product" dataDxfId="374"/>
    <tableColumn id="2" xr3:uid="{0CC09367-70C3-475E-B37C-BA59313E8990}" name="Amount applied (t/hectare)" dataDxfId="373"/>
    <tableColumn id="4" xr3:uid="{E538225B-1976-4EED-BC19-AC5FF0D85A53}" name="Application area (ha)" dataDxfId="372" dataCellStyle="Input number 2 decimal places">
      <calculatedColumnFormula>X_Cell_Fertiliser_AreaUnderCropping</calculatedColumnFormula>
    </tableColumn>
    <tableColumn id="3" xr3:uid="{7E25B1C7-AEE3-4899-8341-51B55C0B11F4}" name="Total amount applied (t)" dataDxfId="371" dataCellStyle="Input number general calculated">
      <calculatedColumnFormula>IFERROR(Table_Input_Lime[[#This Row],[Amount applied (t/hectare)]]*Table_Input_Lime[[#This Row],[Application area (ha)]], 0)</calculatedColumnFormula>
    </tableColumn>
    <tableColumn id="6" xr3:uid="{3406A1C2-ED1D-4C6F-97DF-34625A916BAF}" name="Percent Lime CaCO3" dataDxfId="370"/>
    <tableColumn id="8" xr3:uid="{BBF2CFAA-0F17-4385-9207-AB490408387F}" name="Percent Dolomite CaMg(CO3)2" dataDxfId="369"/>
    <tableColumn id="7" xr3:uid="{FF631FB0-7BBF-4CD3-8F73-1928D35A0E50}" name="Percent Gypsum" dataDxfId="368"/>
    <tableColumn id="10" xr3:uid="{946B8431-4B00-46A7-B809-D53590E1B26C}" name="Total" dataDxfId="36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B5B82BF-42AF-43D6-B892-55FB51835B7C}" name="Table_Input_OrganicFertiliser" displayName="Table_Input_OrganicFertiliser" ref="D53:J56" totalsRowShown="0" headerRowDxfId="366" dataDxfId="365"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BAE9807-2F6A-466F-842C-4BF855522883}" name="Organic fertiliser type (select)" dataDxfId="364" dataCellStyle="Input select"/>
    <tableColumn id="5" xr3:uid="{3629C6B1-785A-46E5-8F27-F306EC273D7A}" name="Percentage of N in fertiliser" dataDxfId="363"/>
    <tableColumn id="2" xr3:uid="{528B905F-9153-4C86-9C54-4B7D2AC6CD09}" name="Amount applied (kg/hectare)" dataDxfId="362"/>
    <tableColumn id="11" xr3:uid="{F8EF7008-3212-41AE-806F-E5E1264B3FC5}" name="Amount N applied (kg/hectare)" dataDxfId="361" dataCellStyle="Input number general calculated">
      <calculatedColumnFormula>Table_Input_OrganicFertiliser[[#This Row],[Amount applied (kg/hectare)]]*Table_Input_OrganicFertiliser[[#This Row],[Percentage of N in fertiliser]]</calculatedColumnFormula>
    </tableColumn>
    <tableColumn id="4" xr3:uid="{8E937637-97EB-4AB3-8C3D-441E228FAD2A}" name="Application area (ha)" dataDxfId="360" dataCellStyle="Input number 2 decimal places">
      <calculatedColumnFormula>X_Cell_Fertiliser_AreaUnderCropping</calculatedColumnFormula>
    </tableColumn>
    <tableColumn id="7" xr3:uid="{904F2836-7D66-47C5-97F2-3B088784EBEB}" name="Total organic fertliser applied" dataDxfId="359" dataCellStyle="Input number general calculated">
      <calculatedColumnFormula>Table_Input_OrganicFertiliser[[#This Row],[Amount applied (kg/hectare)]]*Table_Input_OrganicFertiliser[[#This Row],[Application area (ha)]]</calculatedColumnFormula>
    </tableColumn>
    <tableColumn id="3" xr3:uid="{0E3CC202-8722-4D05-A4D7-631B8AA59172}" name="Total nitrogen applied (kg)" dataDxfId="35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FF1DEBE-AB33-47E9-9F40-3A7066B9CB6E}" name="Table_Input_Fuel" displayName="Table_Input_Fuel" ref="D16:J21" totalsRowDxfId="357"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7039966E-7CE5-4335-818D-151E9CDB8A3A}" name="Fuel use (select)" totalsRowFunction="average" totalsRowDxfId="356" dataCellStyle="Input select" totalsRowCellStyle="Input select"/>
    <tableColumn id="3" xr3:uid="{4618066B-E2C4-41B9-84B2-3AF66BEEDE68}" name="Fuel type (select)" totalsRowDxfId="355" dataCellStyle="Input select" totalsRowCellStyle="Input select"/>
    <tableColumn id="4" xr3:uid="{20F1B925-CE95-4516-A9DA-077B8065B374}" name="Amount purchased" totalsRowDxfId="354" totalsRowCellStyle="Content bold"/>
    <tableColumn id="6" xr3:uid="{F0DDE4FC-CE78-4124-A350-D98CD7130DE4}" name="Amount unit" totalsRowDxfId="353" dataCellStyle="Input number general calculated" totalsRowCellStyle="Input text calculated"/>
    <tableColumn id="5" xr3:uid="{1D2AE64B-8CE8-4894-8013-69FC30C4F7D5}" name="Percent consumed" totalsRowDxfId="352" totalsRowCellStyle="Input percent">
      <calculatedColumnFormula>1</calculatedColumnFormula>
    </tableColumn>
    <tableColumn id="1" xr3:uid="{92BF11A5-5B1D-4949-BF61-825084D0BE2C}" name="Amount consumed" totalsRowFunction="custom" totalsRowDxfId="351"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2A5FEB61-D20D-4AE0-9EFE-7A2660DBA5AF}" name="Amount consumed unit" totalsRowDxfId="350"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E81B930-C8F7-418D-95DB-18CA95BE1F9D}"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932F6446-AEF3-423E-876B-5DC773B6405E}" name="Description"/>
    <tableColumn id="5" xr3:uid="{6A55E7F2-0FA9-44DD-BEA4-6BB87FD91847}" name="Source (select)" dataCellStyle="Input select"/>
    <tableColumn id="2" xr3:uid="{A2EBD904-595F-4EC6-BB26-E045B372B52B}" name="Generation date" dataDxfId="349"/>
    <tableColumn id="3" xr3:uid="{F565C09C-F923-49F0-8437-80E5AB4F4F68}" name="Number of certificates"/>
    <tableColumn id="4" xr3:uid="{DC556CC2-17FB-4037-BF93-6BF4277DB171}" name="MWh" dataCellStyle="Input number general calculated">
      <calculatedColumnFormula>Table_Input_RECSurrendered[[#This Row],[Number of certificates]]</calculatedColumnFormula>
    </tableColumn>
    <tableColumn id="7" xr3:uid="{8814FABD-71F2-47FA-8B34-E30439171CD9}"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B1118CF-B5E2-4EB2-8DB4-F8167CF3E84A}"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6C5FDAA3-2971-41B5-94C8-01141DBF16BE}" name="Description"/>
    <tableColumn id="5" xr3:uid="{56F9D0C7-1AB5-44C2-A41D-2B0D2D9D2478}" name="Source" dataCellStyle="Input text calculated">
      <calculatedColumnFormula>"Issued for generated electricity"</calculatedColumnFormula>
    </tableColumn>
    <tableColumn id="2" xr3:uid="{BAB9D5F8-9A0C-44B4-9350-BD3634E7865A}" name="Generation date" dataDxfId="348"/>
    <tableColumn id="3" xr3:uid="{0016B657-5A4F-4039-B8A6-6335229D450D}" name="Number of certificates"/>
    <tableColumn id="4" xr3:uid="{62178197-C697-4A0B-98CA-4D1307B2ABCF}" name="MWh" dataCellStyle="Input number general calculated">
      <calculatedColumnFormula>Table_Input_RECConsumedByEntity[[#This Row],[Number of certificates]]</calculatedColumnFormula>
    </tableColumn>
    <tableColumn id="7" xr3:uid="{82136CF6-632A-4AC8-A97F-793228AB317A}"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7AA57152-8997-4197-A9B0-E900D4EF590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7DBC590F-93A1-42E1-AC30-C4B7C6D9091B}" name="Product name" dataCellStyle="Input text"/>
    <tableColumn id="1" xr3:uid="{04B14152-D910-47AC-B763-71BC88AA3CCE}" name="Type (select)" dataCellStyle="Input select"/>
    <tableColumn id="2" xr3:uid="{CE7C8B6C-1107-43A9-BA38-7AE7DDD079C7}"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F46A1686-9657-4F60-AF0F-1E201ED33B07}"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E0E5E1D0-E293-4D0B-881F-6413594158CE}" name="Product / service name" dataCellStyle="Input text"/>
    <tableColumn id="2" xr3:uid="{261EFFA1-0729-4600-941B-44346EE9EB5F}" name="Amount" dataCellStyle="Input number general"/>
    <tableColumn id="3" xr3:uid="{E2E15B0E-951F-4442-B147-B37DCD4A549A}"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C63E7F3-58DD-4644-B3EF-76187881685A}"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08DF6DB2-F24A-40C3-892C-F3E468FD5534}" name="Service provider / contractor" dataCellStyle="Input text"/>
    <tableColumn id="4" xr3:uid="{D6FC65E5-E5CB-4391-86C1-A7CE9BE0F679}" name="Activity" dataCellStyle="Input text"/>
    <tableColumn id="2" xr3:uid="{771C4617-9964-4C65-8955-B41FEC891BF3}" name="Total amount" dataCellStyle="Input number general"/>
    <tableColumn id="3" xr3:uid="{2D291BF5-EFB1-4DD7-81BA-9C1CD8E5B95C}"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4812B417-1B1E-457F-9BB6-948DEE4FB782}" name="Table_Input_Pesticides" displayName="Table_Input_Pesticides" ref="D9:R19" totalsRowShown="0" headerRowDxfId="347">
  <autoFilter ref="D9:R19" xr:uid="{BA52E4BB-C3D1-441A-A568-0AD50449E880}"/>
  <tableColumns count="15">
    <tableColumn id="1" xr3:uid="{F0BCF23D-549A-4196-B52F-64225214BEDB}" name="Product name"/>
    <tableColumn id="2" xr3:uid="{C179803A-4147-4B6E-834C-A7B5A4FFF15E}" name="Amount applied per ha"/>
    <tableColumn id="7" xr3:uid="{A638F716-A2C5-4A19-9AE2-55E400AD2449}" name="Application unit (select)" dataCellStyle="Input select"/>
    <tableColumn id="6" xr3:uid="{A32F8EC3-0593-4E38-9D4A-223419404BD2}" name="Application area (ha)" dataCellStyle="Input number general"/>
    <tableColumn id="3" xr3:uid="{D636E0E6-605C-47BB-8C70-6A1A598E0472}" name="Total applied" dataCellStyle="Input number general calculated">
      <calculatedColumnFormula>Table_Input_Pesticides[[#This Row],[Amount applied per ha]]*Table_Input_Pesticides[[#This Row],[Application area (ha)]]</calculatedColumnFormula>
    </tableColumn>
    <tableColumn id="5" xr3:uid="{7073A8A3-FAF0-4D10-9D1A-699186115846}" name="Constituent unit (select)" dataCellStyle="Input select"/>
    <tableColumn id="4" xr3:uid="{0852FCB2-6245-414E-879D-8F1F5EE1292E}" name="Active ingredient 1 (select)" dataCellStyle="Input select"/>
    <tableColumn id="8" xr3:uid="{42857EBB-B7FE-4706-8243-A26D221548A7}" name="Active ingredient 1 amount" dataCellStyle="Input number general"/>
    <tableColumn id="16" xr3:uid="{C180E55A-3C75-4769-842B-D1A89C825E3D}"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A135D67B-E7AF-4922-AC2E-054C68ACDFDB}" name="Active ingredient 2 (select)" dataCellStyle="Input select"/>
    <tableColumn id="11" xr3:uid="{64AA84E0-85E6-465A-9AF1-330C60E407A2}" name="Active ingredient 2 amount" dataCellStyle="Input number general"/>
    <tableColumn id="17" xr3:uid="{AA252F0A-60F1-4A50-892C-54708059A9C8}"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9FE01E29-4F1F-43F7-BF2B-94FDD5BDEFD6}" name="Active ingredient 3 (select)" dataCellStyle="Input select"/>
    <tableColumn id="14" xr3:uid="{3AEF3811-02B8-4FA2-8D43-C95A3081B74E}" name="Active ingredient 3 amount" dataCellStyle="Input number general"/>
    <tableColumn id="18" xr3:uid="{CB1D9FFF-A12E-4367-9597-72B1C6D180C0}"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6E8F3FF3-B7AC-45B5-8394-D2941E2F8AD7}" name="Table_Input_FeedBlends" displayName="Table_Input_FeedBlends" ref="D18:Q28" totalsRowShown="0">
  <autoFilter ref="D18:Q28" xr:uid="{6EC3622A-9CA1-4931-8AAA-6FC289090D20}"/>
  <tableColumns count="14">
    <tableColumn id="1" xr3:uid="{91CCD629-3D4D-4AF2-81D1-636E2A58E8C3}" name="Feed blend name" dataCellStyle="Input text"/>
    <tableColumn id="2" xr3:uid="{EC0350BF-8208-413E-84FA-E6C39F257E82}" name="Amount fed (kg)"/>
    <tableColumn id="4" xr3:uid="{D6AD76BB-6550-4231-93C4-439F3F2FB25B}" name="Ingredient 1 (select)" dataCellStyle="Input select"/>
    <tableColumn id="3" xr3:uid="{3B7E21E4-5DA1-454C-95AF-CD81733E6EB4}" name="Ingredient 1 source region" dataCellStyle="Input select"/>
    <tableColumn id="5" xr3:uid="{E0FA289F-B98B-445C-96F9-37F91305CAA4}" name="Ingredient 1 percent"/>
    <tableColumn id="6" xr3:uid="{A0E36F7F-F0D5-481E-A4DD-DC3EA118C4B0}" name="Ingredient 2 (select)" dataCellStyle="Input select"/>
    <tableColumn id="14" xr3:uid="{9E814F1E-CB89-4D77-B9AD-B0D07A9C18D9}" name="Ingredient 2 source region" dataCellStyle="Input select"/>
    <tableColumn id="7" xr3:uid="{1465B4A5-FEA7-42F6-A319-A14FE3C9994D}" name="Ingredient 2 percent"/>
    <tableColumn id="8" xr3:uid="{B1FFE943-151E-49FE-9D26-541B9E52DDB3}" name="Ingredient 3 (select)" dataCellStyle="Input select"/>
    <tableColumn id="15" xr3:uid="{39575A42-3DE3-4B4F-97C7-932F9BD69362}" name="Ingredient 3 source region" dataCellStyle="Input select"/>
    <tableColumn id="9" xr3:uid="{0CF023E4-F948-4675-9C0A-68F57A7B8DB4}" name="Ingredient 3 percent"/>
    <tableColumn id="10" xr3:uid="{EECC00FB-C8B4-48CE-8F83-FADFDD619A28}" name="Ingredient 4 (select)" dataCellStyle="Input select"/>
    <tableColumn id="16" xr3:uid="{A6B216F7-A058-40B2-B6E2-317637B0FFA0}" name="Ingredient 4 source region" dataCellStyle="Input select"/>
    <tableColumn id="11" xr3:uid="{0AC7E577-426A-48F1-8027-2CD5F1E203EB}"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EFB2224-D251-4F73-B838-48BECA2AC0B3}" name="Table_Input_ChemicalsPharmacy" displayName="Table_Input_ChemicalsPharmacy" ref="D32:F42" totalsRowShown="0" headerRowCellStyle="Input table column header">
  <autoFilter ref="D32:F42" xr:uid="{F7DA8543-C7DE-49A8-A739-D82C85B7B828}"/>
  <tableColumns count="3">
    <tableColumn id="3" xr3:uid="{F45A7019-BE2D-4412-A2AB-2779D261D066}" name="Product name" dataCellStyle="Input text"/>
    <tableColumn id="1" xr3:uid="{D5975A6A-9878-4A89-8456-AE0EB0505730}" name="Type (select)" dataDxfId="346" dataCellStyle="Input select"/>
    <tableColumn id="2" xr3:uid="{EC9EB06E-85DD-4C57-B6A7-EBB4D37DC582}" name="Number of head treated" dataDxfId="345"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2ABCF76-6430-4338-AB74-9AE8457BF2C9}"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1059906-D399-456F-A66A-D57C6868127A}" name="Route name" dataCellStyle="Input text"/>
    <tableColumn id="2" xr3:uid="{4721828A-3A9F-450E-8933-ED631C0334C1}" name="Freight type (select)" dataCellStyle="Input select"/>
    <tableColumn id="3" xr3:uid="{BBDDCDC6-EDD4-4C80-9D2E-6FC1EC9C023C}" name="Route distance (km)"/>
    <tableColumn id="4" xr3:uid="{111C0484-6C17-4D52-BB1B-4D73B8206DEC}" name="Average weight of freight per trip (t)"/>
    <tableColumn id="5" xr3:uid="{D8CE6721-9D8E-4A53-9B88-542309BB975F}"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9129034-BF2C-4E78-A146-5683C7A3C57E}"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D99A4338-9EE5-4EAB-85A5-F38F80672198}" name="Route name" dataCellStyle="Input text"/>
    <tableColumn id="2" xr3:uid="{6A37C33A-A68F-4011-B47B-29A43CDCE2FD}" name="Freight type (select)" dataCellStyle="Input select"/>
    <tableColumn id="3" xr3:uid="{20D0ECBB-4CB1-4742-B89C-393590BE62FB}" name="Route distance (km)"/>
    <tableColumn id="4" xr3:uid="{49CA22FB-8608-4DBE-A10A-76D39185289D}" name="Average weight of freight per trip (t)"/>
    <tableColumn id="5" xr3:uid="{5ADCC5B0-18A3-4F46-8A73-54CE03C9B401}"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6AF639D1-6D66-407C-B537-CBC56A8A0F5A}"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8DA2DD1-D743-40AB-97BE-EBC6ACC234F3}" name="Description" dataCellStyle="Input text"/>
    <tableColumn id="5" xr3:uid="{CC53A309-980C-4361-9DAF-11E899B6EA55}" name="Treatment type (select)" dataCellStyle="Input select"/>
    <tableColumn id="2" xr3:uid="{06654BD0-A0AA-4991-B66F-C5E2485C470E}" name="Waste type (select)" dataCellStyle="Input select"/>
    <tableColumn id="3" xr3:uid="{36D8B3B4-BBDE-4F6A-94EA-5682D104EA73}" name="Treatment location (select)" dataCellStyle="Input select"/>
    <tableColumn id="4" xr3:uid="{EC674613-D20B-41BA-9FCC-64B8C213FE57}" name="Amount" dataCellStyle="Input number general"/>
    <tableColumn id="7" xr3:uid="{87390F01-C2AA-4C6A-A9C3-43AB85351D37}"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D20864-BB22-4D39-9405-95DC172A8F5C}" name="Table_SourceData_Dairy_MMS" displayName="Table_SourceData_Dairy_MMS" ref="D7:E11" totalsRowShown="0">
  <autoFilter ref="D7:E11" xr:uid="{D5C443B2-EDE2-4250-B2EE-016878D19AD9}">
    <filterColumn colId="0" hiddenButton="1"/>
    <filterColumn colId="1" hiddenButton="1"/>
  </autoFilter>
  <tableColumns count="2">
    <tableColumn id="1" xr3:uid="{054F54BC-9163-48CB-80E6-0511DB4C181E}" name="MMS"/>
    <tableColumn id="2" xr3:uid="{1559C311-1236-4631-ABAF-C54C83490391}" name="Symbol and MMS" dataDxfId="344" dataCellStyle="Content normal"/>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98598D-87AF-4567-B684-D0D2C22B8457}" name="Table_SourceData_Dairy_CropProdSystems" displayName="Table_SourceData_Dairy_CropProdSystems" ref="G7:G9" totalsRowShown="0">
  <autoFilter ref="G7:G9" xr:uid="{B6F3FE3A-A0B5-47E7-85B2-8426FB75A7C8}">
    <filterColumn colId="0" hiddenButton="1"/>
  </autoFilter>
  <tableColumns count="1">
    <tableColumn id="1" xr3:uid="{A7CC2FC0-6834-4C74-9EAE-1B9D520CE3F6}" name="Production system">
      <calculatedColumnFormula>#REF!</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52C799-3986-45B4-B7AB-7C704501EC0B}" name="Table_SourceData_Dairy_IrrigationMethods" displayName="Table_SourceData_Dairy_IrrigationMethods" ref="J7:J12" totalsRowShown="0">
  <autoFilter ref="J7:J12" xr:uid="{FE172B77-CEA3-430C-84BC-392A64D0B8FF}">
    <filterColumn colId="0" hiddenButton="1"/>
  </autoFilter>
  <tableColumns count="1">
    <tableColumn id="1" xr3:uid="{0E304A36-6E77-4BEB-AD88-095C2989268A}" name="Irrigation method"/>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FB91AC-A981-418D-B8E7-4C03962BA026}"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574AD75F-7E3B-4FE6-9025-66AEFF839891}" name="Breed">
      <calculatedColumnFormula array="1">Common_InputFunctions.Utility_DisplayArrayInTable(SourceData_Dairy.SourceData_Dairy_LiveweightCowsAndHeifers_Data(), Table_SourceData_Dairy_WjCowsHeifers[[#Headers],[Breed]], 0)</calculatedColumnFormula>
    </tableColumn>
    <tableColumn id="2" xr3:uid="{90818505-119C-4567-80D4-25B607D6ECCB}" name="Milking cows" dataDxfId="343" dataCellStyle="Content normal">
      <calculatedColumnFormula array="1">Common_InputFunctions.Utility_DisplayArrayInTable(SourceData_Dairy.SourceData_Dairy_LiveweightCowsAndHeifers_Data(), Table_SourceData_Dairy_WjCowsHeifers[[#Headers],[Breed]], 0)</calculatedColumnFormula>
    </tableColumn>
    <tableColumn id="3" xr3:uid="{455261CC-4279-465B-87DD-234AC7DE4624}" name="Heifers &gt; 1" dataDxfId="342" dataCellStyle="Content normal">
      <calculatedColumnFormula array="1">Common_InputFunctions.Utility_DisplayArrayInTable(SourceData_Dairy.SourceData_Dairy_LiveweightCowsAndHeifers_Data(), Table_SourceData_Dairy_WjCowsHeifers[[#Headers],[Breed]], 0)</calculatedColumnFormula>
    </tableColumn>
    <tableColumn id="4" xr3:uid="{87F6E231-6495-4991-BF58-13142A58E351}" name="Heifers &lt; 1 (weaned)" dataDxfId="341"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263883-9AE5-4538-B95B-F3509C8903C1}"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CF33FF9F-E783-4605-9B3C-342C56202849}" name="Breed">
      <calculatedColumnFormula array="1">Common_InputFunctions.Utility_DisplayArrayInTable(SourceData_Dairy.SourceData_Dairy_LiveweightBulls_Data(), Table_SourceData_Dairy_WjBulls[[#Headers],[Breed]], 0)</calculatedColumnFormula>
    </tableColumn>
    <tableColumn id="2" xr3:uid="{3D3F04A7-EE2D-4E3B-AD65-A4B5F5297D32}" name="Bulls &gt; 1" dataDxfId="340" dataCellStyle="Content normal">
      <calculatedColumnFormula array="1">Common_InputFunctions.Utility_DisplayArrayInTable(SourceData_Dairy.SourceData_Dairy_LiveweightBulls_Data(), Table_SourceData_Dairy_WjBulls[[#Headers],[Breed]], 0)</calculatedColumnFormula>
    </tableColumn>
    <tableColumn id="3" xr3:uid="{C1527E44-C2FE-4E5E-A38F-5085743805F8}" name="Bulls &lt; 1 (weaned)" dataDxfId="339"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9F21FC-B03C-4D5A-A266-B8934ADE20F4}"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4FA7208A-58C0-4005-9ECB-0A4D2E13F344}" name="Milking cows">
      <calculatedColumnFormula array="1">Common_InputFunctions.Utility_DisplayArrayInTable(SourceData_Dairy.SourceData_Dairy_LiveweightGain_Data(), Table_SourceData_Dairy_LWGj[[#Headers],[Milking cows]], 0)</calculatedColumnFormula>
    </tableColumn>
    <tableColumn id="2" xr3:uid="{C3BA7916-0C57-48A3-B3AD-B27B819EBBFF}" name="Heifers &gt; 1" dataDxfId="338" dataCellStyle="Content normal">
      <calculatedColumnFormula array="1">Common_InputFunctions.Utility_DisplayArrayInTable(SourceData_Dairy.SourceData_Dairy_LiveweightGain_Data(), Table_SourceData_Dairy_LWGj[[#Headers],[Milking cows]], 0)</calculatedColumnFormula>
    </tableColumn>
    <tableColumn id="3" xr3:uid="{9C4352F8-974B-429F-AFE2-EAC6744AA286}" name="Heifers &lt; 1 (weaned)" dataDxfId="337" dataCellStyle="Content normal">
      <calculatedColumnFormula array="1">Common_InputFunctions.Utility_DisplayArrayInTable(SourceData_Dairy.SourceData_Dairy_LiveweightGain_Data(), Table_SourceData_Dairy_LWGj[[#Headers],[Milking cows]], 0)</calculatedColumnFormula>
    </tableColumn>
    <tableColumn id="4" xr3:uid="{4DDE5735-C8E0-4DCE-B7A7-35C12536806E}" name="Bulls &gt; 1" dataDxfId="336" dataCellStyle="Content normal">
      <calculatedColumnFormula array="1">Common_InputFunctions.Utility_DisplayArrayInTable(SourceData_Dairy.SourceData_Dairy_LiveweightGain_Data(), Table_SourceData_Dairy_LWGj[[#Headers],[Milking cows]], 0)</calculatedColumnFormula>
    </tableColumn>
    <tableColumn id="5" xr3:uid="{3B153A2D-4559-48CC-BE7F-29BEC6845E69}" name="Bulls &lt; 1 (weaned)" dataDxfId="335"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ED8200-E149-4000-8550-866299715C68}" name="Table_SourceData_Dairy_WRj" displayName="Table_SourceData_Dairy_WRj" ref="D54:H55" totalsRowShown="0" headerRowDxfId="334"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18E34B57-C137-40FD-AA9C-DB420ACA5A3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5272626C-B06D-40DE-AC2E-6F1691428745}"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366AF2F-86AA-4AC3-B7FB-6118F7A4FBEA}"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8F691F17-ACE3-4EF5-9EB0-3BE62FA5CF02}"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18EA70BD-020E-41AE-A2BA-A37BF956ABAA}"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A84EFC-0452-4898-847C-FD68780F259C}" name="Table_SourceData_Dairy_DataPreWeaned" displayName="Table_SourceData_Dairy_DataPreWeaned" ref="D62:G64" totalsRowShown="0" dataDxfId="333" dataCellStyle="Content normal">
  <autoFilter ref="D62:G64" xr:uid="{968BB314-DB2C-4CA2-BAA9-E66557777E59}">
    <filterColumn colId="0" hiddenButton="1"/>
    <filterColumn colId="1" hiddenButton="1"/>
    <filterColumn colId="2" hiddenButton="1"/>
    <filterColumn colId="3" hiddenButton="1"/>
  </autoFilter>
  <tableColumns count="4">
    <tableColumn id="1" xr3:uid="{9E1F8C52-5EF2-467B-BA28-3A3F76EACFA7}" name="Animal class j" dataDxfId="332" dataCellStyle="Content normal">
      <calculatedColumnFormula array="1">Common_InputFunctions.Utility_DisplayArrayInTable(SourceData_Dairy.SourceData_Dairy_PreWeanedCalves_Data(), Table_SourceData_Dairy_DataPreWeaned[[#Headers],[Animal class j]], -1)</calculatedColumnFormula>
    </tableColumn>
    <tableColumn id="2" xr3:uid="{D21764CE-00FD-40C3-8A84-0B89A1289C7B}" name="CH4 production" dataDxfId="331" dataCellStyle="Content normal">
      <calculatedColumnFormula array="1">Common_InputFunctions.Utility_DisplayArrayInTable(SourceData_Dairy.SourceData_Dairy_PreWeanedCalves_Data(), Table_SourceData_Dairy_DataPreWeaned[[#Headers],[Animal class j]], -1)</calculatedColumnFormula>
    </tableColumn>
    <tableColumn id="3" xr3:uid="{A8DB5094-9980-47A8-AD7A-FFBEF87A6899}" name="Volatile solids (VSj=3,5)" dataDxfId="330" dataCellStyle="Content normal">
      <calculatedColumnFormula array="1">Common_InputFunctions.Utility_DisplayArrayInTable(SourceData_Dairy.SourceData_Dairy_PreWeanedCalves_Data(), Table_SourceData_Dairy_DataPreWeaned[[#Headers],[Animal class j]], -1)</calculatedColumnFormula>
    </tableColumn>
    <tableColumn id="4" xr3:uid="{08303BF2-BA59-4076-99C0-0E898E5261E7}" name="Nitrogen Excreted (NPWj=3,5)" dataDxfId="329"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93FE020-C8DD-498A-AB6B-0B3D0377EA85}"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E1232EE-BCA1-4F4E-BFDF-07479C982E46}" name="MMS m">
      <calculatedColumnFormula array="1">Common_InputFunctions.Utility_DisplayArrayInTable(SourceData_Dairy.SourceData_Dairy_MCF_Data(), Table_SourceData_Dairy_MCFjm[[#Headers],[MMS m]], 0)</calculatedColumnFormula>
    </tableColumn>
    <tableColumn id="2" xr3:uid="{F3CF4B1F-5C7C-49CF-9228-727B2308A695}" name="ACT" dataDxfId="328" dataCellStyle="Content normal">
      <calculatedColumnFormula array="1">Common_InputFunctions.Utility_DisplayArrayInTable(SourceData_Dairy.SourceData_Dairy_MCF_Data(), Table_SourceData_Dairy_MCFjm[[#Headers],[MMS m]], 0)</calculatedColumnFormula>
    </tableColumn>
    <tableColumn id="3" xr3:uid="{C7EE0615-AD30-4C97-9537-6F4D3EF7952A}" name="NSW" dataDxfId="327" dataCellStyle="Content normal">
      <calculatedColumnFormula array="1">Common_InputFunctions.Utility_DisplayArrayInTable(SourceData_Dairy.SourceData_Dairy_MCF_Data(), Table_SourceData_Dairy_MCFjm[[#Headers],[MMS m]], 0)</calculatedColumnFormula>
    </tableColumn>
    <tableColumn id="4" xr3:uid="{2C853BF0-A258-4009-A66C-759A6FF1EEA8}" name="NT" dataDxfId="326" dataCellStyle="Content normal">
      <calculatedColumnFormula array="1">Common_InputFunctions.Utility_DisplayArrayInTable(SourceData_Dairy.SourceData_Dairy_MCF_Data(), Table_SourceData_Dairy_MCFjm[[#Headers],[MMS m]], 0)</calculatedColumnFormula>
    </tableColumn>
    <tableColumn id="5" xr3:uid="{4D9B6426-B42C-40CD-8A3E-69D6C22C4715}" name="QLD" dataDxfId="325" dataCellStyle="Content normal">
      <calculatedColumnFormula array="1">Common_InputFunctions.Utility_DisplayArrayInTable(SourceData_Dairy.SourceData_Dairy_MCF_Data(), Table_SourceData_Dairy_MCFjm[[#Headers],[MMS m]], 0)</calculatedColumnFormula>
    </tableColumn>
    <tableColumn id="6" xr3:uid="{0DE6E98C-4E83-423C-9C0E-15C3C60F9C75}" name="SA" dataDxfId="324" dataCellStyle="Content normal">
      <calculatedColumnFormula array="1">Common_InputFunctions.Utility_DisplayArrayInTable(SourceData_Dairy.SourceData_Dairy_MCF_Data(), Table_SourceData_Dairy_MCFjm[[#Headers],[MMS m]], 0)</calculatedColumnFormula>
    </tableColumn>
    <tableColumn id="7" xr3:uid="{18CF1427-3EE5-4C6E-830F-E6A8E9A05ED9}" name="TAS" dataDxfId="323" dataCellStyle="Content normal">
      <calculatedColumnFormula array="1">Common_InputFunctions.Utility_DisplayArrayInTable(SourceData_Dairy.SourceData_Dairy_MCF_Data(), Table_SourceData_Dairy_MCFjm[[#Headers],[MMS m]], 0)</calculatedColumnFormula>
    </tableColumn>
    <tableColumn id="8" xr3:uid="{88872176-FD1B-4DC9-9C8E-6740F9FF11D9}" name="VIC" dataDxfId="322" dataCellStyle="Content normal">
      <calculatedColumnFormula array="1">Common_InputFunctions.Utility_DisplayArrayInTable(SourceData_Dairy.SourceData_Dairy_MCF_Data(), Table_SourceData_Dairy_MCFjm[[#Headers],[MMS m]], 0)</calculatedColumnFormula>
    </tableColumn>
    <tableColumn id="9" xr3:uid="{F0BCED08-D54A-4359-9721-168FC185C47C}" name="WA" dataDxfId="321" dataCellStyle="Content normal">
      <calculatedColumnFormula array="1">Common_InputFunctions.Utility_DisplayArrayInTable(SourceData_Dairy.SourceData_Dairy_MCF_Data(), Table_SourceData_Dairy_MCFjm[[#Headers],[MMS m]], 0)</calculatedColumnFormula>
    </tableColumn>
    <tableColumn id="10" xr3:uid="{3D325C39-64E2-4ED1-AE9A-492B0430BA92}" name="NIR reference" dataDxfId="320"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A459F3-1590-4F52-888F-4D0176187FC5}"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E7EDC29-EF90-4CAA-9BB5-5BE723607B32}" name="MMS m">
      <calculatedColumnFormula array="1">Common_InputFunctions.Utility_DisplayArrayInTable(SourceData_Dairy.SourceData_Dairy_NitrousOxideEFsAndFracGASM_Data(), Table_SourceData_Dairy_EFmFracGASM[[#Headers],[MMS m]], 0)</calculatedColumnFormula>
    </tableColumn>
    <tableColumn id="2" xr3:uid="{FDA65FF5-78FF-44A9-9BD3-A38FC5E5EE87}" name="EFm" dataDxfId="319" dataCellStyle="Content normal">
      <calculatedColumnFormula array="1">Common_InputFunctions.Utility_DisplayArrayInTable(SourceData_Dairy.SourceData_Dairy_NitrousOxideEFsAndFracGASM_Data(), Table_SourceData_Dairy_EFmFracGASM[[#Headers],[MMS m]], 0)</calculatedColumnFormula>
    </tableColumn>
    <tableColumn id="3" xr3:uid="{E0D1B13F-FFF9-4A3B-92D3-6CFB7E0EC7B7}" name="FracGASMm" dataDxfId="318" dataCellStyle="Content normal">
      <calculatedColumnFormula array="1">Common_InputFunctions.Utility_DisplayArrayInTable(SourceData_Dairy.SourceData_Dairy_NitrousOxideEFsAndFracGASM_Data(), Table_SourceData_Dairy_EFmFracGASM[[#Headers],[MMS m]], 0)</calculatedColumnFormula>
    </tableColumn>
    <tableColumn id="4" xr3:uid="{F10FB1B8-98E2-4E77-BD86-DB3E65A4B0B9}" name="NIR reference" dataDxfId="317"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F59ADB-F05F-49E7-9B94-CB47812D2FD8}"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AD38A8B6-9EAD-4E03-847C-6117744B87E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02669B53-1CB8-4E8B-814C-ACAC6408953A}" name="MPW ENTERIC" dataDxfId="316"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46C7923-D80E-4899-B193-B6354837DE2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31111527-391D-4B11-88F1-220E935982B2}" name="Animal class j">
      <calculatedColumnFormula array="1">Common_InputFunctions.Utility_DisplayArrayInTable(SourceData_Dairy.SourceData_Dairy_IncreasedMetabolicRateMilk_Data(), Table_SourceData_Dairy_MRj[[#Headers],[Animal class j]], 0)</calculatedColumnFormula>
    </tableColumn>
    <tableColumn id="2" xr3:uid="{6B9AF62F-F403-4FBB-96B5-AFDE9964A4D2}" name="MRj" dataDxfId="315"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7266351-EA8D-4E00-A159-50E0D07D6F28}"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90621840-1215-4139-808A-4ED3A75ED9A7}" name="Area">
      <calculatedColumnFormula array="1">Common_InputFunctions.Utility_DisplayArrayInTable(SourceData_Dairy.SourceData_Dairy_FractionVolatileSolidsVoidedMMS_Data(), Table_SourceData_Dairy_ProductionSystemTemplates[[#Headers],[Area]], 0)</calculatedColumnFormula>
    </tableColumn>
    <tableColumn id="2" xr3:uid="{FFBCA6EA-8497-4035-B36E-97BEF07E2FAD}" name="Pasture" dataDxfId="31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689D1F39-9FBB-4180-BCCE-2846C78379A2}" name="Milking shed" dataDxfId="3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74AA35-A20A-4B90-88F9-4D4E0C0A6FA0}" name="Feedpad" dataDxfId="31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AB37D3F-8A02-4799-B887-73BB02A7A4B4}"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25E3BF71-C572-46D3-AB62-327B6F6CC24F}" name="MMS m">
      <calculatedColumnFormula array="1">Common_InputFunctions.Utility_DisplayArrayInTable(SourceData_Dairy.SourceData_Dairy_EFNitrousOxidePerMMS_Data(), Table_SourceData_Dairy_EFm[[#Headers],[MMS m]], 0)</calculatedColumnFormula>
    </tableColumn>
    <tableColumn id="2" xr3:uid="{83A85AF4-EB4F-4F66-B6B8-04CD1A479198}" name="EFm" dataDxfId="311" dataCellStyle="Content normal">
      <calculatedColumnFormula array="1">Common_InputFunctions.Utility_DisplayArrayInTable(SourceData_Dairy.SourceData_Dairy_EFNitrousOxidePerMMS_Data(), Table_SourceData_Dairy_EFm[[#Headers],[MMS m]], 0)</calculatedColumnFormula>
    </tableColumn>
    <tableColumn id="3" xr3:uid="{B1934105-1FDD-4F26-AB64-F2AFE4AFA148}" name="NIR reference" dataDxfId="310"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740F8F8-28BC-45D4-B29F-D1CA148DAD33}"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924AE8EA-F4B4-45FB-80BF-3D99BD14BE43}" name="Animal class j">
      <calculatedColumnFormula array="1">Common_InputFunctions.Utility_DisplayArrayInTable(SourceData_Dairy.SourceData_Dairy_DurationOfStay_Data(), Table_SourceData_Dairy_Duration[[#Headers],[Animal class j]], 0)</calculatedColumnFormula>
    </tableColumn>
    <tableColumn id="2" xr3:uid="{260C11C7-485F-4DF0-BDB8-014850FECFEC}" name="Duration (weaned)" dataDxfId="309" dataCellStyle="Content normal">
      <calculatedColumnFormula array="1">Common_InputFunctions.Utility_DisplayArrayInTable(SourceData_Dairy.SourceData_Dairy_DurationOfStay_Data(), Table_SourceData_Dairy_Duration[[#Headers],[Animal class j]], 0)</calculatedColumnFormula>
    </tableColumn>
    <tableColumn id="3" xr3:uid="{CBD1C964-D5E3-46A9-8EA3-B60576A294EB}" name="Duration (pre-weaned)" dataDxfId="308"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399A2E3-C606-4031-A1F5-F690251E7358}" name="Table_LivestockClasses_Dairy" displayName="Table_LivestockClasses_Dairy" ref="L7:L12" totalsRowShown="0">
  <autoFilter ref="L7:L12" xr:uid="{F006A23F-3930-4C16-9B92-37DD408BCC17}">
    <filterColumn colId="0" hiddenButton="1"/>
  </autoFilter>
  <tableColumns count="1">
    <tableColumn id="1" xr3:uid="{507894D7-C7FD-47E1-A4B6-C2F6CC3245FF}" name="Livestock class"/>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A5B77A77-EDF6-4D60-85B8-F0F5FF6B8AD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5A8A476-73BB-4596-806A-17DD2B663853}" name="Crop type">
      <calculatedColumnFormula array="1">Common_InputFunctions.Utility_DisplayArrayInTable(Agresidue_SourceData.CropAttributes_Data(),Table_SourceData_CropAttributes[[#Headers],[Crop type]], -1)</calculatedColumnFormula>
    </tableColumn>
    <tableColumn id="2" xr3:uid="{2261C9FE-B28C-45CD-B0A8-066577B9389C}" name="Residue: Crop ratio">
      <calculatedColumnFormula array="1">Common_InputFunctions.Utility_DisplayArrayInTable(Agresidue_SourceData.CropAttributes_Data(),Table_SourceData_CropAttributes[[#Headers],[Crop type]], -1)</calculatedColumnFormula>
    </tableColumn>
    <tableColumn id="3" xr3:uid="{D796A0F1-72C5-4969-A9BD-DAD7AC4DCC32}" name="Below-ground: above-ground residue ratio">
      <calculatedColumnFormula array="1">Common_InputFunctions.Utility_DisplayArrayInTable(Agresidue_SourceData.CropAttributes_Data(),Table_SourceData_CropAttributes[[#Headers],[Crop type]], -1)</calculatedColumnFormula>
    </tableColumn>
    <tableColumn id="4" xr3:uid="{9967C7C9-850B-4F41-8B76-7093D2CF2C3A}" name="Dry matter content">
      <calculatedColumnFormula array="1">Common_InputFunctions.Utility_DisplayArrayInTable(Agresidue_SourceData.CropAttributes_Data(),Table_SourceData_CropAttributes[[#Headers],[Crop type]], -1)</calculatedColumnFormula>
    </tableColumn>
    <tableColumn id="5" xr3:uid="{1B38E79B-F253-4AFE-A29E-C8E98D4964A1}" name="Carbon fraction in dry matter">
      <calculatedColumnFormula array="1">Common_InputFunctions.Utility_DisplayArrayInTable(Agresidue_SourceData.CropAttributes_Data(),Table_SourceData_CropAttributes[[#Headers],[Crop type]], -1)</calculatedColumnFormula>
    </tableColumn>
    <tableColumn id="6" xr3:uid="{B396D9CB-D41D-4076-BCB3-0F4E94C403F9}" name="N content above-ground">
      <calculatedColumnFormula array="1">Common_InputFunctions.Utility_DisplayArrayInTable(Agresidue_SourceData.CropAttributes_Data(),Table_SourceData_CropAttributes[[#Headers],[Crop type]], -1)</calculatedColumnFormula>
    </tableColumn>
    <tableColumn id="7" xr3:uid="{E0104A23-9605-4C3F-AB30-EB3B7945396F}" name="N content below-ground">
      <calculatedColumnFormula array="1">Common_InputFunctions.Utility_DisplayArrayInTable(Agresidue_SourceData.CropAttributes_Data(),Table_SourceData_CropAttributes[[#Headers],[Crop type]], -1)</calculatedColumnFormula>
    </tableColumn>
    <tableColumn id="8" xr3:uid="{DC046AE1-5FFF-4B28-9213-5DA5534271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226B509B-201E-4909-82CE-B976B5F9032D}"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8AED48C4-86F0-4787-BDF8-D27D23572B4D}" name="Table76" displayName="Table76" ref="D73:F89" totalsRowShown="0">
  <autoFilter ref="D73:F89" xr:uid="{7CD0B032-9881-4EF1-81E3-483C7C16D9D0}">
    <filterColumn colId="0" hiddenButton="1"/>
    <filterColumn colId="1" hiddenButton="1"/>
    <filterColumn colId="2" hiddenButton="1"/>
  </autoFilter>
  <tableColumns count="3">
    <tableColumn id="1" xr3:uid="{71925BE3-2551-4863-B22B-689FDB891650}" name="Crop type c">
      <calculatedColumnFormula array="1">Common_InputFunctions.Utility_DisplayArrayInTable(Agresidue_SourceData.CropFractionRemoved_Data(), Table76[[#Headers],[Crop type c]], 0)</calculatedColumnFormula>
    </tableColumn>
    <tableColumn id="2" xr3:uid="{3430CBB4-258D-46C1-A418-E03404D6E0DC}" name="State" dataDxfId="307">
      <calculatedColumnFormula array="1">Common_InputFunctions.Utility_DisplayArrayInTable(Agresidue_SourceData.CropFractionRemoved_Data(), Table76[[#Headers],[Crop type c]], 0)</calculatedColumnFormula>
    </tableColumn>
    <tableColumn id="3" xr3:uid="{A1E6E9C5-C0CD-45FD-AAC8-63109E1169D6}" name="Fraction removed" dataDxfId="306">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1BAD498-43D8-491D-8B1A-87DAFE75809C}" name="Table77" displayName="Table77" ref="D92:F235" totalsRowShown="0">
  <autoFilter ref="D92:F235" xr:uid="{1FA7CC86-1C1E-41FA-9AA1-AAD48AA2EEF0}">
    <filterColumn colId="0" hiddenButton="1"/>
    <filterColumn colId="1" hiddenButton="1"/>
    <filterColumn colId="2" hiddenButton="1"/>
  </autoFilter>
  <tableColumns count="3">
    <tableColumn id="1" xr3:uid="{B49A7D19-67BA-4FE2-8CBA-7AA2550A6CED}" name="Crop type c">
      <calculatedColumnFormula array="1">Common_InputFunctions.Utility_DisplayArrayInTable(Agresidue_SourceData.CropFractionRemoved_CustomisedData(), Table77[[#Headers],[Crop type c]], 0)</calculatedColumnFormula>
    </tableColumn>
    <tableColumn id="2" xr3:uid="{E4BA4C45-D2EF-41B8-A23A-C47ABA2DE0D1}" name="State" dataDxfId="305">
      <calculatedColumnFormula array="1">Common_InputFunctions.Utility_DisplayArrayInTable(Agresidue_SourceData.CropFractionRemoved_CustomisedData(), Table77[[#Headers],[Crop type c]], 0)</calculatedColumnFormula>
    </tableColumn>
    <tableColumn id="3" xr3:uid="{E211871D-8BC6-44BC-92AB-EB9D2CA69111}" name="Fraction removed" dataDxfId="304">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F341E32-7E36-4ADC-B6F9-F7A8EAA5B9F1}" name="Table_SourceData_N2OEFOrganicFert" displayName="Table_SourceData_N2OEFOrganicFert" ref="D43:E45" totalsRowShown="0" dataDxfId="303" dataCellStyle="Content bold">
  <autoFilter ref="D43:E45" xr:uid="{2270AB6D-D03A-4D71-95C0-00BA6BB02732}">
    <filterColumn colId="0" hiddenButton="1"/>
    <filterColumn colId="1" hiddenButton="1"/>
  </autoFilter>
  <tableColumns count="2">
    <tableColumn id="1" xr3:uid="{9F52B389-FD66-49E2-A1EC-549D9838B63D}" name="Climate zone type i" dataDxfId="302" dataCellStyle="Content bold">
      <calculatedColumnFormula array="1">Common_InputFunctions.Utility_DisplayArrayInTable(Agresidue_SourceData.N2OEFOrganicFertiliser_Data(), Table_SourceData_N2OEFOrganicFert[[#Headers],[Climate zone type i]], 0)</calculatedColumnFormula>
    </tableColumn>
    <tableColumn id="2" xr3:uid="{B4887978-E37C-47BB-8442-DF94F5456B63}" name="EF i N2O" dataDxfId="301"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BC74143-5FEA-43D1-A22E-AB71845A1609}" name="Table_SourceData_PastureAttributes" displayName="Table_SourceData_PastureAttributes" ref="D51:I56" totalsRowShown="0" dataDxfId="300"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E17DC352-843B-4F5E-BD9F-9B582842F78D}" name="Pasture type" dataDxfId="299" dataCellStyle="Content normal">
      <calculatedColumnFormula array="1">Common_InputFunctions.Utility_DisplayArrayInTable(Agresidue_SourceData.PastureAttributes_Data(), Table_SourceData_PastureAttributes[[#Headers],[Pasture type]], 0)</calculatedColumnFormula>
    </tableColumn>
    <tableColumn id="2" xr3:uid="{1F91A9A6-CDE0-4E2F-A0E8-3400309E3A54}" name="Average Yield (t DM ha) Yp" dataDxfId="298" dataCellStyle="Content normal">
      <calculatedColumnFormula array="1">Common_InputFunctions.Utility_DisplayArrayInTable(Agresidue_SourceData.PastureAttributes_Data(), Table_SourceData_PastureAttributes[[#Headers],[Pasture type]], 0)</calculatedColumnFormula>
    </tableColumn>
    <tableColumn id="3" xr3:uid="{8E8C5F26-DA9D-490B-8CC7-B45CE62B4DC5}" name="Below-ground: above-ground residue ratio RBGp" dataDxfId="297" dataCellStyle="Content normal">
      <calculatedColumnFormula array="1">Common_InputFunctions.Utility_DisplayArrayInTable(Agresidue_SourceData.PastureAttributes_Data(), Table_SourceData_PastureAttributes[[#Headers],[Pasture type]], 0)</calculatedColumnFormula>
    </tableColumn>
    <tableColumn id="4" xr3:uid="{F331C767-09E3-4767-8C23-A5ECE7F192BB}" name="N content Above-ground NCAGp" dataDxfId="296" dataCellStyle="Content normal">
      <calculatedColumnFormula array="1">Common_InputFunctions.Utility_DisplayArrayInTable(Agresidue_SourceData.PastureAttributes_Data(), Table_SourceData_PastureAttributes[[#Headers],[Pasture type]], 0)</calculatedColumnFormula>
    </tableColumn>
    <tableColumn id="5" xr3:uid="{4E6B6B14-06AF-4E74-AEB5-00D924B58E83}" name="N content Below-ground NCBGp" dataDxfId="295" dataCellStyle="Content normal">
      <calculatedColumnFormula array="1">Common_InputFunctions.Utility_DisplayArrayInTable(Agresidue_SourceData.PastureAttributes_Data(), Table_SourceData_PastureAttributes[[#Headers],[Pasture type]], 0)</calculatedColumnFormula>
    </tableColumn>
    <tableColumn id="6" xr3:uid="{EE0E1538-4FB4-4F8B-9B93-076492678229}" name="Fraction of pasture yield that is removed FFODp" dataDxfId="294"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9E989E2-8F1F-4FB8-92C9-1B30024B8335}"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DBDDBE22-F020-4EA5-8187-6EC0339E5BA2}" name="Gas species">
      <calculatedColumnFormula array="1">Common_InputFunctions.Utility_DisplayArrayInTable(AgResidues_SourceData.BurningOfAgriculturalResiduesEFs_Data(), Table_SourceData_BurningResidueEFs[[#Headers],[Gas species]], 0)</calculatedColumnFormula>
    </tableColumn>
    <tableColumn id="2" xr3:uid="{16B7C0A6-1D76-449A-8B27-2FD0A66C2BDF}" name="Emission factor EFg (Gg element in species/ Gg element in fuel burnt)" dataDxfId="293" dataCellStyle="Content normal">
      <calculatedColumnFormula array="1">Common_InputFunctions.Utility_DisplayArrayInTable(AgResidues_SourceData.BurningOfAgriculturalResiduesEFs_Data(), Table_SourceData_BurningResidueEFs[[#Headers],[Gas species]], 0)</calculatedColumnFormula>
    </tableColumn>
    <tableColumn id="3" xr3:uid="{A7259EEE-19E9-422F-A21D-D79E57076C85}" name="Elemental to molecular mass conversion factor (Cg)" dataDxfId="292"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2D869B02-9B36-4D10-86BB-FD4EC2C79F3B}" name="Table_SourceData_CropPurposeAndYields" displayName="Table_SourceData_CropPurposeAndYields" ref="D7:K10" totalsRowShown="0" headerRowDxfId="291">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F620512-B210-40C7-8A2C-13DCA4C47D14}" name="Purpose">
      <calculatedColumnFormula array="1">Common_InputFunctions.Utility_DisplayArrayInTable(Agresidue_SourceData.CropPurposeAndYield_Data(), Table_SourceData_CropPurposeAndYields[[#Headers],[Purpose]], 0)</calculatedColumnFormula>
    </tableColumn>
    <tableColumn id="2" xr3:uid="{50B1D65F-9426-4CAE-B7F1-499598194BAF}" name="Per hectare unit">
      <calculatedColumnFormula array="1">Common_InputFunctions.Utility_DisplayArrayInTable(Agresidue_SourceData.CropPurposeAndYield_Data(), Table_SourceData_CropPurposeAndYields[[#Headers],[Purpose]], 0)</calculatedColumnFormula>
    </tableColumn>
    <tableColumn id="3" xr3:uid="{E3AB645F-31AA-4EFD-8B3F-0B48D07B7180}" name="harvest term">
      <calculatedColumnFormula array="1">Common_InputFunctions.Utility_DisplayArrayInTable(Agresidue_SourceData.CropPurposeAndYield_Data(), Table_SourceData_CropPurposeAndYields[[#Headers],[Purpose]], 0)</calculatedColumnFormula>
    </tableColumn>
    <tableColumn id="4" xr3:uid="{95B1CE30-E66A-4AB9-97C5-1B584712D88C}" name="harvest endpoint">
      <calculatedColumnFormula array="1">Common_InputFunctions.Utility_DisplayArrayInTable(Agresidue_SourceData.CropPurposeAndYield_Data(), Table_SourceData_CropPurposeAndYields[[#Headers],[Purpose]], 0)</calculatedColumnFormula>
    </tableColumn>
    <tableColumn id="5" xr3:uid="{83547835-CF52-4982-A4D6-681FD4C7C582}" name="Harvest uit">
      <calculatedColumnFormula array="1">Common_InputFunctions.Utility_DisplayArrayInTable(Agresidue_SourceData.CropPurposeAndYield_Data(), Table_SourceData_CropPurposeAndYields[[#Headers],[Purpose]], 0)</calculatedColumnFormula>
    </tableColumn>
    <tableColumn id="6" xr3:uid="{FD073E4E-8D9F-4E94-AE6B-42111460EEC0}" name="Yield note">
      <calculatedColumnFormula array="1">Common_InputFunctions.Utility_DisplayArrayInTable(Agresidue_SourceData.CropPurposeAndYield_Data(), Table_SourceData_CropPurposeAndYields[[#Headers],[Purpose]], 0)</calculatedColumnFormula>
    </tableColumn>
    <tableColumn id="8" xr3:uid="{51A904A1-D265-474E-B725-64AC200141CD}" name="Residue crop ratio note">
      <calculatedColumnFormula array="1">Common_InputFunctions.Utility_DisplayArrayInTable(Agresidue_SourceData.CropPurposeAndYield_Data(), Table_SourceData_CropPurposeAndYields[[#Headers],[Purpose]], 0)</calculatedColumnFormula>
    </tableColumn>
    <tableColumn id="9" xr3:uid="{8D29AED0-41E9-479E-8FDD-ADBA136EEA32}"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782D791A-4F2E-4C20-B2F4-5574481AB400}" name="Table_SourceData_Fertiliser_IrrigationMethods83" displayName="Table_SourceData_Fertiliser_IrrigationMethods83" ref="N21:N26" totalsRowShown="0">
  <autoFilter ref="N21:N26" xr:uid="{1AC5909E-E06C-4A79-81E9-C25A0B6D9E90}">
    <filterColumn colId="0" hiddenButton="1"/>
  </autoFilter>
  <tableColumns count="1">
    <tableColumn id="1" xr3:uid="{59DBAD72-BBA9-4122-BFE7-FB6C7F180D0A}" name="Irrigation method"/>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CF72D211-1244-4678-84B8-CC1E328D34C0}"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8CC305F5-7775-4DED-A9C1-24F99B4203BA}" name="Symbol">
      <calculatedColumnFormula array="1">Common_InputFunctions.Utility_DisplayArrayInTable(CommonLivestock_SourceData.SourceData_Livestock_Common_SymbolsMMS_Data(), Table_Data_MMSSymbols[[#Headers],[Symbol]], 0)</calculatedColumnFormula>
    </tableColumn>
    <tableColumn id="2" xr3:uid="{0A32A615-A541-4FB5-89A5-7473C796A894}" name="Manure management system">
      <calculatedColumnFormula array="1">Common_InputFunctions.Utility_DisplayArrayInTable(CommonLivestock_SourceData.SourceData_Livestock_Common_SymbolsMMS_Data(), Table_Data_MMSSymbols[[#Headers],[Symbol]], 0)</calculatedColumnFormula>
    </tableColumn>
    <tableColumn id="3" xr3:uid="{EE35F66B-4545-4310-ABCB-98B2286CB0EB}"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723C5A7-3378-435B-8D59-38B30E4C9AEF}" name="Table_SourceData_ElectricityEFs" displayName="Table_SourceData_ElectricityEFs" ref="D9:F19" totalsRowShown="0" headerRowDxfId="290">
  <autoFilter ref="D9:F19" xr:uid="{3144A982-7A4D-4CF2-8790-1A30DAE3E0A4}">
    <filterColumn colId="0" hiddenButton="1"/>
    <filterColumn colId="1" hiddenButton="1"/>
    <filterColumn colId="2" hiddenButton="1"/>
  </autoFilter>
  <tableColumns count="3">
    <tableColumn id="1" xr3:uid="{65F10E30-6335-4217-BB8D-F2B054A298C4}"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363034DA-785A-47F8-BF6C-4DFF7347AC1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1EF41B4-24CC-4D2A-A662-8ABF083CD6D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EA3D965-3A6A-46C4-8844-285900236CA4}"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206CEC6-3D58-4BEE-8AA0-AD4CFF9926AE}"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DF6FC468-72AF-4C95-8D1A-0041D1ED3BA6}"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14F459CA-A1E1-4199-B9B9-731F757E7D5F}"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F1150F94-5E3E-4C1E-A6C3-233C7E336E16}"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8D8E9EE0-734E-48E3-BB40-DE2B09C1952D}"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A8FF58-AD06-4CA9-AE86-23777CB038AE}"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A9FEFB7E-E58D-439A-9F98-7E24BBBCB2E0}"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0F8A907-EAE5-48CD-A65E-399F1B542445}" name="FNinorganic f">
      <calculatedColumnFormula array="1">Common_InputFunctions.Utility_DisplayArrayInTable(Fertiliser_SourceData.Fertiliser_ChemicalCompoundElements_Data(),Table_Fertiliser_ChemicalCompounds[[#Headers],[Fertiliser type f]], 0)</calculatedColumnFormula>
    </tableColumn>
    <tableColumn id="3" xr3:uid="{A9ED8990-54DB-4A8B-B72F-061C71759147}" name="FU f">
      <calculatedColumnFormula array="1">Common_InputFunctions.Utility_DisplayArrayInTable(Fertiliser_SourceData.Fertiliser_ChemicalCompoundElements_Data(),Table_Fertiliser_ChemicalCompounds[[#Headers],[Fertiliser type f]], 0)</calculatedColumnFormula>
    </tableColumn>
    <tableColumn id="4" xr3:uid="{D9783A4B-E636-4ED7-B0E1-97D2DD6D07DF}" name="Basis">
      <calculatedColumnFormula array="1">Common_InputFunctions.Utility_DisplayArrayInTable(Fertiliser_SourceData.Fertiliser_ChemicalCompoundElements_Data(),Table_Fertiliser_ChemicalCompounds[[#Headers],[Fertiliser type f]], 0)</calculatedColumnFormula>
    </tableColumn>
    <tableColumn id="5" xr3:uid="{30AC7031-6334-4C89-B3A4-58AFDAB2F10E}"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6A4B7B50-1177-4417-8D1E-1E85ADA9CE36}"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DB7B650-178F-4E0E-8892-AED6889DFFDA}"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0A2E608-7E60-42A2-AF3C-AC5517B9BB5B}" name="Company" totalsRowFunction="custom" totalsRowDxfId="28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3A7CFC75-397E-41C1-9DD4-F44B0F82ECE0}"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EC1058FA-E9DE-4079-A269-D97DD9C06D70}"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D316B37D-D9D8-484F-9929-2F2F1F0EBD11}"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7874B7BB-0FD6-4811-A792-3DA89A4C9D14}"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70DD7DDE-6D6A-4D92-99F9-24FBF01E8A2F}"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B79E190-8D5B-491C-87DA-0750AD0797FD}"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47E2CF93-6D53-4BAE-8D9F-2B72BEEDAA73}"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8DE12CBF-39AB-4035-94E6-FFA608C07BC0}"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22E7F9C-344C-4EFF-9ECD-470ABA74F42D}"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7A9256F-70AF-4DD8-B942-C23884A3DCE3}"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742EBC2F-7295-4940-96AC-64C9D648DA4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3725D1F4-392A-4CEB-AF3A-264639A08B0E}"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FD2C9A91-751B-43CE-87BC-3DD5CBD631B3}"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9CDF9154-278F-4214-9D96-35108982B046}"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EC1EFFDB-CCD1-429E-8ED7-7BADC1B0CA1E}"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45B94B65-BFE7-434E-BBCF-9721021F9E69}"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3B2EC448-2B0C-44B4-B41D-039342B102B2}"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4AE9551A-2177-4D42-B2F0-36B2391B74AD}"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274E92EF-DD93-43A7-B08E-9A94F32DA86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987FAF86-D6E2-42AE-84F5-DBB60C607A3B}"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0F0BEF62-6A26-4A27-840C-57F6CB17F682}"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BEE92707-7C63-44F7-8BBC-F94A236C2FF4}"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94DD34AF-B05F-4337-B653-0F8854996C5F}"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5C145B59-F585-42E1-8EA7-9FB6BC0F8800}"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85C4C803-F924-4CE1-8809-667A11FE0F15}"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6F6B1F00-C8AC-406B-B825-75C489B3602B}"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70367AF6-D109-43E4-9344-9C504997DD37}"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CA61CDD4-022C-4121-AA05-CB4BBF4FA17D}"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CD876A9D-D39C-461F-854E-327060E93513}"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D3E1303A-B3E7-47AF-B69F-05757806F394}" name="Ingredient 10 percent" totalsRow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48A1134-D418-4986-9BB3-7A86936144EA}"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7093AF6F-4394-406F-AF08-F2F833D5E1D8}" name="Fertiliser type f">
      <calculatedColumnFormula array="1">Common_InputFunctions.Utility_DisplayArrayInTable(Fertiliser_SourceData.Fertiliser_FracGASF_Data(), Table_SourceData_Fertiliser_FracGASF[[#Headers],[Fertiliser type f]], 0)</calculatedColumnFormula>
    </tableColumn>
    <tableColumn id="2" xr3:uid="{10C7CA25-E649-40C1-B698-F89BDB5CE9BA}" name="FracGASF f" dataDxfId="28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ACB20019-61AC-4F64-AE71-6A2327D5D851}" name="Table_SourceData_Fertiliser_CropProdSystems" displayName="Table_SourceData_Fertiliser_CropProdSystems" ref="D41:D43" totalsRowShown="0">
  <autoFilter ref="D41:D43" xr:uid="{24F3A11E-40F5-4BB9-BFF4-A71FA2ADA0EF}">
    <filterColumn colId="0" hiddenButton="1"/>
  </autoFilter>
  <tableColumns count="1">
    <tableColumn id="1" xr3:uid="{F70802E7-917F-4A27-A444-36A5BE6F64D8}" name="Production system">
      <calculatedColumnFormula>#REF!</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2EA3422-2B2F-4EFE-A460-3227E4ABA703}"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487B93E-F2F1-4F02-8A25-636DFC62E119}" name="Irrigation method"/>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E93D00E3-3D13-409E-BDA7-909C7564317C}" name="Table_SourceData_Fertiliser_CropTypes" displayName="Table_SourceData_Fertiliser_CropTypes" ref="F41:F45" totalsRowShown="0">
  <autoFilter ref="F41:F45" xr:uid="{CB5044B5-FA3C-4AA2-B1AB-72F7E61D072F}">
    <filterColumn colId="0" hiddenButton="1"/>
  </autoFilter>
  <tableColumns count="1">
    <tableColumn id="1" xr3:uid="{B8F7CB41-093B-4373-A8FD-482EBBA360BE}" name="Production system"/>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6D933B60-7A9D-439D-AA9A-8709F243A9FE}" name="Table_SourceData_OrganicFertiliserTypes" displayName="Table_SourceData_OrganicFertiliserTypes" ref="J41:J46" totalsRowShown="0">
  <autoFilter ref="J41:J46" xr:uid="{B44627B1-537E-4ABC-92C3-57282CEE5B40}">
    <filterColumn colId="0" hiddenButton="1"/>
  </autoFilter>
  <tableColumns count="1">
    <tableColumn id="1" xr3:uid="{C090F55B-8E38-48CB-A072-2B5AC4AC7208}" name="Organic fertiliser type"/>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8545C2C-55BE-471E-8D41-60AEB650FC13}"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D67540EF-D273-4201-9854-2586A5FA98EB}" name="Element">
      <calculatedColumnFormula array="1">Common_InputFunctions.Utility_DisplayArrayInTable(Fertiliser_SourceData.Fertiliser_LimeDolomiteGypsumConstants_Data(), Table_SourceData_Fertiliser_LimeDolomiteConstants[[#Headers],[Element]], 0)</calculatedColumnFormula>
    </tableColumn>
    <tableColumn id="2" xr3:uid="{9FE0EA9D-CA0A-4B97-B79E-3A9ACFD9D740}" name="P" dataDxfId="28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70DAFDC5-BFF3-4148-8F39-05B94E23D58F}" name="EF" dataDxfId="28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9F1AF80F-E23A-4123-A9B5-28513949607E}" name="Table2" displayName="Table2" ref="K19:L28" totalsRowShown="0" dataDxfId="285" dataCellStyle="Content normal">
  <autoFilter ref="K19:L28" xr:uid="{27B93029-EB1F-4C4A-A946-CD673A8A6C46}">
    <filterColumn colId="0" hiddenButton="1"/>
    <filterColumn colId="1" hiddenButton="1"/>
  </autoFilter>
  <tableColumns count="2">
    <tableColumn id="1" xr3:uid="{B0CED9D0-65B0-481E-BF3E-6C8A44388F61}" name="Fertiliser type f" dataDxfId="284" dataCellStyle="Content normal">
      <calculatedColumnFormula array="1">Common_InputFunctions.Utility_DisplayArrayInTable(Fertiliser_SourceData.Fertiliser_FractionNCommonFertilisers_Data(), Table2[[#Headers],[Fertiliser type f]], 0)</calculatedColumnFormula>
    </tableColumn>
    <tableColumn id="2" xr3:uid="{E8EB366D-8CB2-4703-B36A-863DA839894A}" name="FNinorganic f" dataDxfId="28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9483E03-DB09-4C8F-B29C-DB38AD5CB442}" name="Table28" displayName="Table28" ref="Q19:R28" totalsRowShown="0" dataDxfId="282" dataCellStyle="Content normal">
  <autoFilter ref="Q19:R28" xr:uid="{791CEA59-796C-47AB-86BC-41E8F699030C}">
    <filterColumn colId="0" hiddenButton="1"/>
    <filterColumn colId="1" hiddenButton="1"/>
  </autoFilter>
  <tableColumns count="2">
    <tableColumn id="1" xr3:uid="{4C3B8540-8008-4860-8D55-E29F0F5948C7}" name="Fertiliser type f" dataDxfId="281" dataCellStyle="Content normal">
      <calculatedColumnFormula array="1">Common_InputFunctions.Utility_DisplayArrayInTable(Fertiliser_SourceData.Fertiliser_FractionUreaCommonFertilisers_Data(), Table28[[#Headers],[Fertiliser type f]], 0)</calculatedColumnFormula>
    </tableColumn>
    <tableColumn id="2" xr3:uid="{5C2F5197-5106-4146-AA7A-6F64E56926F3}" name="FNinorganic f" dataDxfId="28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C4A76D23-FFE0-45B8-A43C-5DBBA679267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F585345-FE39-45BA-B11B-6219269C8960}"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43724D7-FD5A-4EE9-86D6-D4E797558B64}" name="Table_Fuel_EFs_StationaryLiquid" displayName="Table_Fuel_EFs_StationaryLiquid" ref="D53:K77" totalsRowShown="0" headerRowDxfId="279" dataDxfId="27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381F0C4-6174-4636-A15F-5FD83DE57C2D}" name="Fuel combusted" dataDxfId="277">
      <calculatedColumnFormula array="1">Common_InputFunctions.Utility_DisplayArrayInTable(Fuel_SourceData.Fuel_Scope1Scope3EmissionFactorsStationaryLiquid_Data(), Table_Fuel_EFs_StationaryLiquid[[#Headers],[Fuel combusted]],0)</calculatedColumnFormula>
    </tableColumn>
    <tableColumn id="2" xr3:uid="{9B23AFB6-AB5E-41B0-B159-3842594BF999}" name="Energy Content Factor (GJ per unit of fuel)" dataDxfId="276">
      <calculatedColumnFormula array="1">Common_InputFunctions.Utility_DisplayArrayInTable(Fuel_SourceData.Fuel_Scope1Scope3EmissionFactorsStationaryLiquid_Data(), Table_Fuel_EFs_StationaryLiquid[[#Headers],[Fuel combusted]],0)</calculatedColumnFormula>
    </tableColumn>
    <tableColumn id="3" xr3:uid="{4166677B-B2FE-4AB2-8597-E83D4C399678}" name="Fuel unit" dataDxfId="275">
      <calculatedColumnFormula array="1">Common_InputFunctions.Utility_DisplayArrayInTable(Fuel_SourceData.Fuel_Scope1Scope3EmissionFactorsStationaryLiquid_Data(), Table_Fuel_EFs_StationaryLiquid[[#Headers],[Fuel combusted]],0)</calculatedColumnFormula>
    </tableColumn>
    <tableColumn id="4" xr3:uid="{AD2744AA-56B1-46B1-9685-4E2776B8729C}" name="Scope 1 Emission Factor (kg CO2 - e / GJ) CO2" dataDxfId="274">
      <calculatedColumnFormula array="1">Common_InputFunctions.Utility_DisplayArrayInTable(Fuel_SourceData.Fuel_Scope1Scope3EmissionFactorsStationaryLiquid_Data(), Table_Fuel_EFs_StationaryLiquid[[#Headers],[Fuel combusted]],0)</calculatedColumnFormula>
    </tableColumn>
    <tableColumn id="5" xr3:uid="{381040F5-B6A7-4FA5-A847-FC4603743C08}" name="Scope 1 Emission Factor (kg CO2 - e / GJ) CH4" dataDxfId="273">
      <calculatedColumnFormula array="1">Common_InputFunctions.Utility_DisplayArrayInTable(Fuel_SourceData.Fuel_Scope1Scope3EmissionFactorsStationaryLiquid_Data(), Table_Fuel_EFs_StationaryLiquid[[#Headers],[Fuel combusted]],0)</calculatedColumnFormula>
    </tableColumn>
    <tableColumn id="6" xr3:uid="{02363A0B-B891-40A7-B4E7-6D04FD129EA2}" name="Scope 1 Emission Factor (kg CO2 - e / GJ) N2O" dataDxfId="272">
      <calculatedColumnFormula array="1">Common_InputFunctions.Utility_DisplayArrayInTable(Fuel_SourceData.Fuel_Scope1Scope3EmissionFactorsStationaryLiquid_Data(), Table_Fuel_EFs_StationaryLiquid[[#Headers],[Fuel combusted]],0)</calculatedColumnFormula>
    </tableColumn>
    <tableColumn id="7" xr3:uid="{F29F87D4-AA2B-4F44-951E-48E8019C3063}" name="Scope 1 Emission Factor (kg CO2 - e / GJ) Combined gases" dataDxfId="271">
      <calculatedColumnFormula array="1">Common_InputFunctions.Utility_DisplayArrayInTable(Fuel_SourceData.Fuel_Scope1Scope3EmissionFactorsStationaryLiquid_Data(), Table_Fuel_EFs_StationaryLiquid[[#Headers],[Fuel combusted]],0)</calculatedColumnFormula>
    </tableColumn>
    <tableColumn id="8" xr3:uid="{F14CD9CB-DD52-4965-862B-74E2B2C1F0BB}" name="Scope 3 Emission Factor (kg CO2 - e / GJ)" dataDxfId="27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B1C0C54-C6FA-4622-BFF5-17DB1CA6C4C9}" name="Table_Fuel_EFs_Transport" displayName="Table_Fuel_EFs_Transport" ref="D9:L34" totalsRowShown="0" headerRowDxfId="269" dataDxfId="26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4E9592E-31A7-41B3-A027-87DE757956D3}" name="Transport type" dataDxfId="267">
      <calculatedColumnFormula array="1">Common_InputFunctions.Utility_DisplayArrayInTable(Fuel_SourceData.Fuel_Scope1Scope3EmissionFactorsTransport_Data(), Table_Fuel_EFs_Transport[[#Headers],[Transport type]], 0)</calculatedColumnFormula>
    </tableColumn>
    <tableColumn id="2" xr3:uid="{E38699DB-5481-40BF-B02D-2E62BA81C390}" name="Fuel combusted" dataDxfId="266">
      <calculatedColumnFormula array="1">Common_InputFunctions.Utility_DisplayArrayInTable(Fuel_SourceData.Fuel_Scope1Scope3EmissionFactorsTransport_Data(), Table_Fuel_EFs_Transport[[#Headers],[Transport type]], 0)</calculatedColumnFormula>
    </tableColumn>
    <tableColumn id="3" xr3:uid="{C1421DAF-BD32-4DBA-809B-6DC7EAD0247D}" name="Energy Content Factor (GJ per unit of fuel)" dataDxfId="265">
      <calculatedColumnFormula array="1">Common_InputFunctions.Utility_DisplayArrayInTable(Fuel_SourceData.Fuel_Scope1Scope3EmissionFactorsTransport_Data(), Table_Fuel_EFs_Transport[[#Headers],[Transport type]], 0)</calculatedColumnFormula>
    </tableColumn>
    <tableColumn id="4" xr3:uid="{93ABEDD4-AAA1-4508-86A3-C0E1E5CF9624}" name="Fuel unit" dataDxfId="264">
      <calculatedColumnFormula array="1">Common_InputFunctions.Utility_DisplayArrayInTable(Fuel_SourceData.Fuel_Scope1Scope3EmissionFactorsTransport_Data(), Table_Fuel_EFs_Transport[[#Headers],[Transport type]], 0)</calculatedColumnFormula>
    </tableColumn>
    <tableColumn id="8" xr3:uid="{D38CAE08-60A2-400C-94EA-AD201FA91FC8}" name="Scope 1 Emission Factor (kg CO2 - e / GJ) CO2" dataDxfId="263">
      <calculatedColumnFormula array="1">Common_InputFunctions.Utility_DisplayArrayInTable(Fuel_SourceData.Fuel_Scope1Scope3EmissionFactorsTransport_Data(), Table_Fuel_EFs_Transport[[#Headers],[Transport type]], 0)</calculatedColumnFormula>
    </tableColumn>
    <tableColumn id="9" xr3:uid="{B85FF487-BE02-4A81-A12E-1EF00329A981}" name="Scope 1 Emission Factor (kg CO2 - e / GJ) CH4" dataDxfId="262">
      <calculatedColumnFormula array="1">Common_InputFunctions.Utility_DisplayArrayInTable(Fuel_SourceData.Fuel_Scope1Scope3EmissionFactorsTransport_Data(), Table_Fuel_EFs_Transport[[#Headers],[Transport type]], 0)</calculatedColumnFormula>
    </tableColumn>
    <tableColumn id="10" xr3:uid="{68628012-956C-4F64-9075-ED539876FA13}" name="Scope 1 Emission Factor (kg CO2 - e / GJ) N2O" dataDxfId="261">
      <calculatedColumnFormula array="1">Common_InputFunctions.Utility_DisplayArrayInTable(Fuel_SourceData.Fuel_Scope1Scope3EmissionFactorsTransport_Data(), Table_Fuel_EFs_Transport[[#Headers],[Transport type]], 0)</calculatedColumnFormula>
    </tableColumn>
    <tableColumn id="11" xr3:uid="{CF4E1C4D-B1F0-4D4A-BE37-A3554E8C730D}" name="Scope 1 Emission Factor (kg CO2 - e / GJ) Combined gases" dataDxfId="260">
      <calculatedColumnFormula array="1">Common_InputFunctions.Utility_DisplayArrayInTable(Fuel_SourceData.Fuel_Scope1Scope3EmissionFactorsTransport_Data(), Table_Fuel_EFs_Transport[[#Headers],[Transport type]], 0)</calculatedColumnFormula>
    </tableColumn>
    <tableColumn id="12" xr3:uid="{DBD12BFF-2595-4D87-BC1E-39CC52640C7E}" name="Scope 3 Emission Factor (kg CO2 - e / GJ)" dataDxfId="25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78A7B325-0443-43F2-B761-8EDEE17BFE8A}" name="Table_FuelTypesPerUse" displayName="Table_FuelTypesPerUse" ref="D130:I139" totalsRowShown="0" headerRowDxfId="258" dataDxfId="25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3345D6D8-F2E1-4C68-B73E-58F4923C115A}" name="Generators" dataDxfId="256"/>
    <tableColumn id="2" xr3:uid="{F43EDADD-BA5B-4E7B-8862-5A318B9ECBF7}" name="Power standalone machinery or heating" dataDxfId="255"/>
    <tableColumn id="3" xr3:uid="{6B2135BD-1AE3-437E-875F-5A83344911B0}" name="Aviation" dataDxfId="254"/>
    <tableColumn id="5" xr3:uid="{A80891D0-E9F6-4D9A-B543-A64890FBEBFE}" name="Cars and light commercial vehicles" dataDxfId="253"/>
    <tableColumn id="7" xr3:uid="{304A76F3-5BA4-486D-81D4-D9660802091E}" name="Off-road Agriculture and forestry equipment" dataDxfId="252" dataCellStyle="Content bold"/>
    <tableColumn id="8" xr3:uid="{B823F9F2-2AEE-47BE-83F0-60DB29CFF172}" name="Vessels" dataDxfId="251" dataCellStyle="Content bold"/>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5DB847AA-F02A-4B84-B394-DCC5B4B39DE6}" name="Table_Fuel_EFs_StationaryGaseous" displayName="Table_Fuel_EFs_StationaryGaseous" ref="D86:J104" totalsRowShown="0" headerRowDxfId="250" dataDxfId="24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375914-539D-4A95-9AA7-F14A6AE6171B}" name="Fuel combusted" dataDxfId="248">
      <calculatedColumnFormula array="1">Common_InputFunctions.Utility_DisplayArrayInTable(Fuel_SourceData.Fuel_Scope1EmissionFactorsStationaryGaseous_Data(), Table_Fuel_EFs_StationaryGaseous[[#Headers],[Fuel combusted]],0)</calculatedColumnFormula>
    </tableColumn>
    <tableColumn id="2" xr3:uid="{671A479A-C9D0-4DA3-9701-1406D9D977DF}" name="Energy Content Factor (GJ per unit of fuel)" dataDxfId="247">
      <calculatedColumnFormula array="1">Common_InputFunctions.Utility_DisplayArrayInTable(Fuel_SourceData.Fuel_Scope1EmissionFactorsStationaryGaseous_Data(), Table_Fuel_EFs_StationaryGaseous[[#Headers],[Fuel combusted]],0)</calculatedColumnFormula>
    </tableColumn>
    <tableColumn id="3" xr3:uid="{5FDFBB1D-CD67-4D1A-BBF9-AD45942A714D}" name="Fuel unit" dataDxfId="246">
      <calculatedColumnFormula array="1">Common_InputFunctions.Utility_DisplayArrayInTable(Fuel_SourceData.Fuel_Scope1EmissionFactorsStationaryGaseous_Data(), Table_Fuel_EFs_StationaryGaseous[[#Headers],[Fuel combusted]],0)</calculatedColumnFormula>
    </tableColumn>
    <tableColumn id="4" xr3:uid="{50545C08-026C-41D2-A94D-55C610C6455A}" name="Scope 1 Emission Factor (kg CO2 - e / GJ) CO2" dataDxfId="245">
      <calculatedColumnFormula array="1">Common_InputFunctions.Utility_DisplayArrayInTable(Fuel_SourceData.Fuel_Scope1EmissionFactorsStationaryGaseous_Data(), Table_Fuel_EFs_StationaryGaseous[[#Headers],[Fuel combusted]],0)</calculatedColumnFormula>
    </tableColumn>
    <tableColumn id="5" xr3:uid="{4D7909D0-D9BB-4AAF-A3CE-97E84E0876C0}" name="Scope 1 Emission Factor (kg CO2 - e / GJ) CH4" dataDxfId="244">
      <calculatedColumnFormula array="1">Common_InputFunctions.Utility_DisplayArrayInTable(Fuel_SourceData.Fuel_Scope1EmissionFactorsStationaryGaseous_Data(), Table_Fuel_EFs_StationaryGaseous[[#Headers],[Fuel combusted]],0)</calculatedColumnFormula>
    </tableColumn>
    <tableColumn id="6" xr3:uid="{A0526A2A-358F-49B2-B60D-6D3F4D566128}" name="Scope 1 Emission Factor (kg CO2 - e / GJ) N2O" dataDxfId="243">
      <calculatedColumnFormula array="1">Common_InputFunctions.Utility_DisplayArrayInTable(Fuel_SourceData.Fuel_Scope1EmissionFactorsStationaryGaseous_Data(), Table_Fuel_EFs_StationaryGaseous[[#Headers],[Fuel combusted]],0)</calculatedColumnFormula>
    </tableColumn>
    <tableColumn id="7" xr3:uid="{89A05264-6315-4AC7-B034-A27D337D6EAC}" name="Scope 1 Emission Factor (kg CO2 - e / GJ) Combined gases" dataDxfId="24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5B98BC7-C15E-48C5-8387-50A7442B519E}" name="Table_Fuel_EFs_StationaryGaseous34" displayName="Table_Fuel_EFs_StationaryGaseous34" ref="D112:F120" headerRowDxfId="241" totalsRowDxfId="240">
  <autoFilter ref="D112:F120" xr:uid="{7D6CE29D-2354-4FAC-9965-9A66FFA42416}">
    <filterColumn colId="0" hiddenButton="1"/>
    <filterColumn colId="1" hiddenButton="1"/>
    <filterColumn colId="2" hiddenButton="1"/>
  </autoFilter>
  <tableColumns count="3">
    <tableColumn id="1" xr3:uid="{DD16C942-88F3-4349-B49F-85844B703642}" name="State or territory" totalsRowDxfId="239">
      <calculatedColumnFormula array="1">Common_InputFunctions.Utility_DisplayArrayInTable(Fuel_SourceData.Fuel_Scope3EmissionFactorsStationaryGaseous_Data(), Table_Fuel_EFs_StationaryGaseous34[[#Headers],[State or territory]],0)</calculatedColumnFormula>
    </tableColumn>
    <tableColumn id="2" xr3:uid="{0454A37D-2A0D-45F4-AA47-EF75BB4A0445}" name="Metro" totalsRowDxfId="238">
      <calculatedColumnFormula array="1">Common_InputFunctions.Utility_DisplayArrayInTable(Fuel_SourceData.Fuel_Scope3EmissionFactorsStationaryGaseous_Data(), Table_Fuel_EFs_StationaryGaseous34[[#Headers],[State or territory]],0)</calculatedColumnFormula>
    </tableColumn>
    <tableColumn id="3" xr3:uid="{7DE3A3A1-82E0-4EC9-AB79-5EDEFCE96A45}" name="Non-metro" totalsRowDxfId="23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D1A1326-FDD9-488D-A674-E3946776B1FE}"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8DFF0CE6-4CFE-4B1C-BE62-C5DDAA32E077}" name="Fuel type"/>
    <tableColumn id="2" xr3:uid="{146D93C9-325E-4646-82DF-BD0299D801DC}" name="Unit"/>
    <tableColumn id="3" xr3:uid="{8AFFD7D0-A352-40A1-9601-8EC965912FCC}" name="Input Unit" dataDxfId="236"/>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BB933D4-E997-422A-84F9-22DA03335223}"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8EF3D7-1D4A-4F1B-B8EB-495873572CEA}"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1DE125F-3212-403F-81D4-5E431C666794}" name="Fuel type q" dataDxfId="23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AD97F337-E99A-4AAD-83B0-5667674B5885}" name="ECTrans,q (GJ/kL)" dataDxfId="2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5F61862B-DD3D-4BFF-B538-7630B30F7AC8}" name="Scope 1 CO2 EFTran,1,tqg (kg CO2-e/GJ)" dataDxfId="2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069A765A-A2AE-435D-A548-0DF478D494A6}" name="Scope 1 CH4 EFTran,1,tgg (kg CO2-e/GJ)" dataDxfId="2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C6E66566-4805-4A03-8D26-B98B354C3A56}" name="Scope 1 N2O EFTran,1,tgg (kg CO2-e/GJ)" dataDxfId="2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791E395-172E-47B5-91DB-A3A01989A1DC}" name="Scope 3 EFTrans,3,q (kg CO2-e/GJ)" dataDxfId="2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062EF4D-37AF-4285-9188-A98F552A4D37}"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6ED5AD0-523B-4FBF-8CF5-3BB949624456}" name="Category" dataDxfId="229" dataCellStyle="Content normal">
      <calculatedColumnFormula array="1">Common_InputFunctions.Utility_DisplayArrayInTable(Scope3_SourceData.Scope3_Livestock_Data(), Table_SourceData_Scope3_Animals[[#Headers],[Category]], 0, 2)</calculatedColumnFormula>
    </tableColumn>
    <tableColumn id="2" xr3:uid="{2AC28607-EB55-41E5-91BB-99963B123A18}" name="Product" dataDxfId="228" dataCellStyle="Content normal">
      <calculatedColumnFormula array="1">Common_InputFunctions.Utility_DisplayArrayInTable(Scope3_SourceData.Scope3_Livestock_Data(), Table_SourceData_Scope3_Animals[[#Headers],[Category]], 0, 2)</calculatedColumnFormula>
    </tableColumn>
    <tableColumn id="3" xr3:uid="{3026BF3E-32C4-4FC4-AA47-B79186BA0B95}" name="Region of origin" dataDxfId="227" dataCellStyle="Content normal">
      <calculatedColumnFormula array="1">Common_InputFunctions.Utility_DisplayArrayInTable(Scope3_SourceData.Scope3_Livestock_Data(), Table_SourceData_Scope3_Animals[[#Headers],[Category]], 0, 2)</calculatedColumnFormula>
    </tableColumn>
    <tableColumn id="8" xr3:uid="{48653269-EF88-4D08-9967-93D99E3960F1}" name="Quantity Unit" dataDxfId="226" dataCellStyle="Content normal">
      <calculatedColumnFormula array="1">Common_InputFunctions.Utility_DisplayArrayInTable(Scope3_SourceData.Scope3_Livestock_Data(), Table_SourceData_Scope3_Animals[[#Headers],[Category]], 0, 2)</calculatedColumnFormula>
    </tableColumn>
    <tableColumn id="9" xr3:uid="{16450C9C-77FC-440F-A624-146FD07C8965}" name="Emissions intensity" dataDxfId="225" dataCellStyle="Content normal">
      <calculatedColumnFormula array="1">Common_InputFunctions.Utility_DisplayArrayInTable(Scope3_SourceData.Scope3_Livestock_Data(), Table_SourceData_Scope3_Animals[[#Headers],[Category]], 0, 2)</calculatedColumnFormula>
    </tableColumn>
    <tableColumn id="10" xr3:uid="{E8BEEBAF-BAE0-4B40-BC35-855EF662CA0D}" name="System boundary" dataDxfId="224" dataCellStyle="Content normal">
      <calculatedColumnFormula array="1">Common_InputFunctions.Utility_DisplayArrayInTable(Scope3_SourceData.Scope3_Livestock_Data(), Table_SourceData_Scope3_Animals[[#Headers],[Category]], 0, 2)</calculatedColumnFormula>
    </tableColumn>
    <tableColumn id="4" xr3:uid="{07E69247-4091-468F-9F80-F87472F1EA0C}" name="Source" dataDxfId="223"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6F3F99FA-A046-4786-9592-AF59DED7FC71}"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55488C4-A0BB-4023-BF73-BCBB59BD2C44}" name="Category" dataDxfId="222" dataCellStyle="Content normal">
      <calculatedColumnFormula array="1">Common_InputFunctions.Utility_DisplayArrayInTable(Scope3_SourceData.Scope3_Chemicals_Data(), Table_SourceData_Scope3_ChemicalsCleaning[[#Headers],[Category]], 0, 2)</calculatedColumnFormula>
    </tableColumn>
    <tableColumn id="2" xr3:uid="{649F357D-CE05-496E-BB61-BBD6C3A2FF4A}" name="Product" dataDxfId="221" dataCellStyle="Content normal">
      <calculatedColumnFormula array="1">Common_InputFunctions.Utility_DisplayArrayInTable(Scope3_SourceData.Scope3_Chemicals_Data(), Table_SourceData_Scope3_ChemicalsCleaning[[#Headers],[Category]], 0, 2)</calculatedColumnFormula>
    </tableColumn>
    <tableColumn id="3" xr3:uid="{0A124D83-5AAC-4FDC-8879-D09D08144CC4}" name="Region of origin" dataDxfId="220" dataCellStyle="Content normal">
      <calculatedColumnFormula array="1">Common_InputFunctions.Utility_DisplayArrayInTable(Scope3_SourceData.Scope3_Chemicals_Data(), Table_SourceData_Scope3_ChemicalsCleaning[[#Headers],[Category]], 0, 2)</calculatedColumnFormula>
    </tableColumn>
    <tableColumn id="8" xr3:uid="{F91E74D1-354E-4FB7-84D2-45351D53273C}" name="Quantity Unit" dataDxfId="219" dataCellStyle="Content normal">
      <calculatedColumnFormula array="1">Common_InputFunctions.Utility_DisplayArrayInTable(Scope3_SourceData.Scope3_Chemicals_Data(), Table_SourceData_Scope3_ChemicalsCleaning[[#Headers],[Category]], 0, 2)</calculatedColumnFormula>
    </tableColumn>
    <tableColumn id="9" xr3:uid="{7E86337E-AEDF-49F9-8438-0FF6C9D64788}" name="Emissions intensity" dataDxfId="218" dataCellStyle="Content normal">
      <calculatedColumnFormula array="1">Common_InputFunctions.Utility_DisplayArrayInTable(Scope3_SourceData.Scope3_Chemicals_Data(), Table_SourceData_Scope3_ChemicalsCleaning[[#Headers],[Category]], 0, 2)</calculatedColumnFormula>
    </tableColumn>
    <tableColumn id="10" xr3:uid="{A8F8FCDE-5BDD-4711-8BCF-D5E17B0AFA6C}" name="System boundary" dataDxfId="217" dataCellStyle="Content normal">
      <calculatedColumnFormula array="1">Common_InputFunctions.Utility_DisplayArrayInTable(Scope3_SourceData.Scope3_Chemicals_Data(), Table_SourceData_Scope3_ChemicalsCleaning[[#Headers],[Category]], 0, 2)</calculatedColumnFormula>
    </tableColumn>
    <tableColumn id="4" xr3:uid="{F9E9EDA2-8CA4-4D7D-8099-D6007088B42D}" name="Source" dataDxfId="216"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5742F76-5B04-4A6A-AC56-252B2C049B4B}" name="Table_SourceData_Scope3_Feed" displayName="Table_SourceData_Scope3_Feed" ref="D89:J158" dataDxfId="215"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549DBA-22FC-4DA0-86C6-D3D5A329A189}" name="Category" totalsRowFunction="custom" dataDxfId="214" totalsRowDxfId="21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CAFB4626-8E58-4600-BB68-F44B3B8E92C7}" name="Product" totalsRowFunction="custom" dataDxfId="212" totalsRowDxfId="21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97036039-0D17-4E33-B654-B0E59D4A3466}" name="Region of origin" totalsRowFunction="custom" dataDxfId="210" totalsRowDxfId="20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984C575A-C681-46EA-AC09-8365B214F259}" name="Quantity Unit" totalsRowFunction="custom" dataDxfId="208" totalsRowDxfId="20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BBF34E52-1E5B-46DD-A342-4EDAE68D4E8C}" name="Emissions intensity" totalsRowFunction="custom" dataDxfId="206" totalsRowDxfId="20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2934F5A6-2FA5-45DB-9F08-0A7ADF78A3B6}" name="System boundary" totalsRowFunction="custom" dataDxfId="204" totalsRowDxfId="20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91CD7B8E-FCF4-423D-9229-F347516FDF34}" name="Source" totalsRowLabel="GHGEI-MIAFF" dataDxfId="202" totalsRowDxfId="201"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F64E6C52-3AFA-43EE-AB3B-47000DF26F31}"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71EDE78B-4BA5-481B-BDE9-FD453B1C9E2A}" name="Category">
      <calculatedColumnFormula array="1">Common_InputFunctions.Utility_DisplayArrayInTable(Scope3_SourceData.Scope3_InorganicFertilisers_Data(), Table_SourceData_Scope3_InorganicFertiliser[[#Headers],[Category]], 0, 2)</calculatedColumnFormula>
    </tableColumn>
    <tableColumn id="2" xr3:uid="{914F1960-BB43-451D-AEAE-17E464CF8B08}" name="Product">
      <calculatedColumnFormula array="1">Common_InputFunctions.Utility_DisplayArrayInTable(Scope3_SourceData.Scope3_InorganicFertilisers_Data(), Table_SourceData_Scope3_InorganicFertiliser[[#Headers],[Category]], 0, 2)</calculatedColumnFormula>
    </tableColumn>
    <tableColumn id="3" xr3:uid="{ED4B7750-AE80-4620-A2EC-E5C5A26BD4A6}" name="Region of origin">
      <calculatedColumnFormula array="1">Common_InputFunctions.Utility_DisplayArrayInTable(Scope3_SourceData.Scope3_InorganicFertilisers_Data(), Table_SourceData_Scope3_InorganicFertiliser[[#Headers],[Category]], 0, 2)</calculatedColumnFormula>
    </tableColumn>
    <tableColumn id="4" xr3:uid="{901437F5-E80E-4D6A-AA02-48CABEEBA5A2}" name="Chemical compound"/>
    <tableColumn id="5" xr3:uid="{D1448DA5-E904-4565-93D1-5741562AC8A3}" name="Urea source"/>
    <tableColumn id="6" xr3:uid="{6BDAC28A-F758-4624-B50A-05690179BCAA}" name="Ammonia source"/>
    <tableColumn id="7" xr3:uid="{F462319B-C043-444A-97FB-D4B7AA0D3173}" name="Quantity"/>
    <tableColumn id="8" xr3:uid="{C8708672-EBC3-4164-B570-9CB636B9AE61}" name="Quantity Unit">
      <calculatedColumnFormula array="1">Common_InputFunctions.Utility_DisplayArrayInTable(Scope3_SourceData.Scope3_InorganicFertilisers_Data(), Table_SourceData_Scope3_InorganicFertiliser[[#Headers],[Category]], 0, -2)</calculatedColumnFormula>
    </tableColumn>
    <tableColumn id="9" xr3:uid="{F4A2CAFB-2C3F-4850-A4C3-90C1D8FBAA06}" name="Emissions intensity">
      <calculatedColumnFormula array="1">Common_InputFunctions.Utility_DisplayArrayInTable(Scope3_SourceData.Scope3_InorganicFertilisers_Data(), Table_SourceData_Scope3_InorganicFertiliser[[#Headers],[Category]], 0, -2)</calculatedColumnFormula>
    </tableColumn>
    <tableColumn id="10" xr3:uid="{2ECE1E33-8B08-44F9-A007-8003AFF0E662}" name="System boundary" dataDxfId="200" dataCellStyle="Content normal">
      <calculatedColumnFormula array="1">Common_InputFunctions.Utility_DisplayArrayInTable(Scope3_SourceData.Scope3_InorganicFertilisers_Data(), Table_SourceData_Scope3_InorganicFertiliser[[#Headers],[Category]], 0, -2)</calculatedColumnFormula>
    </tableColumn>
    <tableColumn id="11" xr3:uid="{1852ADFF-F090-4598-BE6A-966AB63A6EBB}" name="Source" dataDxfId="199"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FC6DF931-0343-40FA-9567-B949336A91EB}" name="Table_SourceData_Scope3_Other" displayName="Table_SourceData_Scope3_Other" ref="D201:J209" totalsRowShown="0" dataDxfId="198"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136A36E-BAF8-4ED6-A6CF-1A05B185AE84}" name="Category" dataDxfId="197" dataCellStyle="Content normal">
      <calculatedColumnFormula array="1">Common_InputFunctions.Utility_DisplayArrayInTable(Scope3_SourceData.Scope3_Other_Data(), Table_SourceData_Scope3_Other[[#Headers],[Category]], 0, 2)</calculatedColumnFormula>
    </tableColumn>
    <tableColumn id="2" xr3:uid="{CC8CD21C-C122-44DE-A02F-F04C63958AE4}" name="Product" dataDxfId="196" dataCellStyle="Content normal">
      <calculatedColumnFormula array="1">Common_InputFunctions.Utility_DisplayArrayInTable(Scope3_SourceData.Scope3_Other_Data(), Table_SourceData_Scope3_Other[[#Headers],[Category]], 0, 2)</calculatedColumnFormula>
    </tableColumn>
    <tableColumn id="3" xr3:uid="{4BB282A9-B6B9-4FF4-95B3-7FC63B85A6C1}" name="Region of origin" dataDxfId="195" dataCellStyle="Content normal">
      <calculatedColumnFormula array="1">Common_InputFunctions.Utility_DisplayArrayInTable(Scope3_SourceData.Scope3_Other_Data(), Table_SourceData_Scope3_Other[[#Headers],[Category]], 0, 2)</calculatedColumnFormula>
    </tableColumn>
    <tableColumn id="8" xr3:uid="{751E4EA2-C27A-480B-92F8-DEEC16C3E385}" name="Quantity Unit" dataDxfId="194" dataCellStyle="Content normal">
      <calculatedColumnFormula array="1">Common_InputFunctions.Utility_DisplayArrayInTable(Scope3_SourceData.Scope3_Other_Data(), Table_SourceData_Scope3_Other[[#Headers],[Category]], 0, 2)</calculatedColumnFormula>
    </tableColumn>
    <tableColumn id="9" xr3:uid="{A761D7B9-AD71-41E1-8B1A-30D0F74E042D}" name="Emissions intensity" dataDxfId="193" dataCellStyle="Content normal">
      <calculatedColumnFormula array="1">Common_InputFunctions.Utility_DisplayArrayInTable(Scope3_SourceData.Scope3_Other_Data(), Table_SourceData_Scope3_Other[[#Headers],[Category]], 0, 2)</calculatedColumnFormula>
    </tableColumn>
    <tableColumn id="10" xr3:uid="{0A44AD55-9049-4306-B72A-9251F03D86B6}" name="System boundary" dataDxfId="192" dataCellStyle="Content normal">
      <calculatedColumnFormula array="1">Common_InputFunctions.Utility_DisplayArrayInTable(Scope3_SourceData.Scope3_Other_Data(), Table_SourceData_Scope3_Other[[#Headers],[Category]], 0, 2)</calculatedColumnFormula>
    </tableColumn>
    <tableColumn id="4" xr3:uid="{311F8402-FF9B-4906-BF9E-7D2932F36EA9}" name="Source" dataDxfId="191" dataCellStyle="Content normal"/>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6209582E-20F4-4306-9D2B-1CA0DBCEA085}" name="Table_SourceData_Scope3_Packaging" displayName="Table_SourceData_Scope3_Packaging" ref="D212:J216" totalsRowShown="0" dataDxfId="190"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2E66C96-B857-4E9F-8B95-AF0689058FAE}" name="Category" dataDxfId="189" dataCellStyle="Content normal">
      <calculatedColumnFormula array="1">Common_InputFunctions.Utility_DisplayArrayInTable(Scope3_SourceData.Scope3_Packaging_Data(), Table_SourceData_Scope3_Packaging[[#Headers],[Category]], 0, 2)</calculatedColumnFormula>
    </tableColumn>
    <tableColumn id="2" xr3:uid="{DE2E4AFE-348D-4347-87F7-0BBA08E6BFCD}" name="Product" dataDxfId="188" dataCellStyle="Content normal">
      <calculatedColumnFormula array="1">Common_InputFunctions.Utility_DisplayArrayInTable(Scope3_SourceData.Scope3_Packaging_Data(), Table_SourceData_Scope3_Packaging[[#Headers],[Category]], 0, 2)</calculatedColumnFormula>
    </tableColumn>
    <tableColumn id="3" xr3:uid="{4CA310E6-2DCD-4ED0-B6EE-CD6F0114C240}" name="Region of origin" dataDxfId="187" dataCellStyle="Content normal">
      <calculatedColumnFormula array="1">Common_InputFunctions.Utility_DisplayArrayInTable(Scope3_SourceData.Scope3_Packaging_Data(), Table_SourceData_Scope3_Packaging[[#Headers],[Category]], 0, 2)</calculatedColumnFormula>
    </tableColumn>
    <tableColumn id="8" xr3:uid="{12221D63-59AA-4E13-A6CC-9289F357F237}" name="Quantity Unit" dataDxfId="186" dataCellStyle="Content normal">
      <calculatedColumnFormula array="1">Common_InputFunctions.Utility_DisplayArrayInTable(Scope3_SourceData.Scope3_Packaging_Data(), Table_SourceData_Scope3_Packaging[[#Headers],[Category]], 0, 2)</calculatedColumnFormula>
    </tableColumn>
    <tableColumn id="9" xr3:uid="{7D675E4D-9B68-4B37-8723-980C4094122A}" name="Emissions intensity" dataDxfId="185" dataCellStyle="Content normal">
      <calculatedColumnFormula array="1">Common_InputFunctions.Utility_DisplayArrayInTable(Scope3_SourceData.Scope3_Packaging_Data(), Table_SourceData_Scope3_Packaging[[#Headers],[Category]], 0, 2)</calculatedColumnFormula>
    </tableColumn>
    <tableColumn id="10" xr3:uid="{0D9312C0-135B-4233-A02C-1196F95DA071}" name="System boundary" dataDxfId="184" dataCellStyle="Content normal">
      <calculatedColumnFormula array="1">Common_InputFunctions.Utility_DisplayArrayInTable(Scope3_SourceData.Scope3_Packaging_Data(), Table_SourceData_Scope3_Packaging[[#Headers],[Category]], 0, 2)</calculatedColumnFormula>
    </tableColumn>
    <tableColumn id="4" xr3:uid="{39E197FB-8F7B-4017-841E-616A76EEEB15}" name="Source" dataDxfId="183"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863A7A4C-7B9F-4B3C-B306-07193F87559F}" name="Table_SourceData_Scope3_Pesticides" displayName="Table_SourceData_Scope3_Pesticides" ref="D219:J231" totalsRowShown="0" dataDxfId="182"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AE9802C-C508-419D-A749-A318F0C4E89A}" name="Category" dataDxfId="181" dataCellStyle="Content normal">
      <calculatedColumnFormula array="1">Common_InputFunctions.Utility_DisplayArrayInTable(Scope3_SourceData.Scope3_Pesticides_Data(), Table_SourceData_Scope3_Pesticides[[#Headers],[Category]], 0, 2)</calculatedColumnFormula>
    </tableColumn>
    <tableColumn id="2" xr3:uid="{334EE602-EA02-4953-B8EC-04082FE7A118}" name="Product" dataDxfId="180" dataCellStyle="Content normal">
      <calculatedColumnFormula array="1">Common_InputFunctions.Utility_DisplayArrayInTable(Scope3_SourceData.Scope3_Pesticides_Data(), Table_SourceData_Scope3_Pesticides[[#Headers],[Category]], 0, 2)</calculatedColumnFormula>
    </tableColumn>
    <tableColumn id="3" xr3:uid="{32CD66DE-5B98-48B9-BCCB-6DA7035FB0A7}" name="Region of origin" dataDxfId="179" dataCellStyle="Content normal">
      <calculatedColumnFormula array="1">Common_InputFunctions.Utility_DisplayArrayInTable(Scope3_SourceData.Scope3_Pesticides_Data(), Table_SourceData_Scope3_Pesticides[[#Headers],[Category]], 0, 2)</calculatedColumnFormula>
    </tableColumn>
    <tableColumn id="8" xr3:uid="{5430A17B-6FB0-48D0-9983-30946F131113}" name="Quantity Unit" dataDxfId="178" dataCellStyle="Content normal">
      <calculatedColumnFormula array="1">Common_InputFunctions.Utility_DisplayArrayInTable(Scope3_SourceData.Scope3_Pesticides_Data(), Table_SourceData_Scope3_Pesticides[[#Headers],[Category]], 0, 2)</calculatedColumnFormula>
    </tableColumn>
    <tableColumn id="9" xr3:uid="{0BE99D05-736B-4694-B0B1-859DEE546CB3}" name="Emissions intensity" dataDxfId="177" dataCellStyle="Content normal">
      <calculatedColumnFormula array="1">Common_InputFunctions.Utility_DisplayArrayInTable(Scope3_SourceData.Scope3_Pesticides_Data(), Table_SourceData_Scope3_Pesticides[[#Headers],[Category]], 0, 2)</calculatedColumnFormula>
    </tableColumn>
    <tableColumn id="10" xr3:uid="{EAAD616D-AA2E-4602-99E0-91E47F8EB3D6}" name="System boundary" dataDxfId="176" dataCellStyle="Content normal">
      <calculatedColumnFormula array="1">Common_InputFunctions.Utility_DisplayArrayInTable(Scope3_SourceData.Scope3_Pesticides_Data(), Table_SourceData_Scope3_Pesticides[[#Headers],[Category]], 0, 2)</calculatedColumnFormula>
    </tableColumn>
    <tableColumn id="4" xr3:uid="{D68D72DA-6DE1-4953-BEBF-A77AB3C46238}" name="Source" dataDxfId="175"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3E9CE2BA-FAC7-4E95-870D-FF2C2F8CE29B}" name="Table_SourceData_Scope3_SoilAmeliorants" displayName="Table_SourceData_Scope3_SoilAmeliorants" ref="D234:J237" totalsRowShown="0" dataDxfId="174"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4769A42-FC4C-4DBD-AA53-69DEBDD786E1}" name="Category" dataDxfId="173" dataCellStyle="Content normal">
      <calculatedColumnFormula array="1">Common_InputFunctions.Utility_DisplayArrayInTable(Scope3_SourceData.Scope3_SoilAmendments_Data(), Table_SourceData_Scope3_SoilAmeliorants[[#Headers],[Category]], 0, 2)</calculatedColumnFormula>
    </tableColumn>
    <tableColumn id="2" xr3:uid="{329FC7A5-0D9D-46D4-90B3-CAC7E5D25241}" name="Product" dataDxfId="172" dataCellStyle="Content normal">
      <calculatedColumnFormula array="1">Common_InputFunctions.Utility_DisplayArrayInTable(Scope3_SourceData.Scope3_SoilAmendments_Data(), Table_SourceData_Scope3_SoilAmeliorants[[#Headers],[Category]], 0, 2)</calculatedColumnFormula>
    </tableColumn>
    <tableColumn id="3" xr3:uid="{FFF4FEEA-FEEC-4227-BCC3-6ACEF0B86D8D}" name="Region of origin" dataDxfId="171" dataCellStyle="Content normal">
      <calculatedColumnFormula array="1">Common_InputFunctions.Utility_DisplayArrayInTable(Scope3_SourceData.Scope3_SoilAmendments_Data(), Table_SourceData_Scope3_SoilAmeliorants[[#Headers],[Category]], 0, 2)</calculatedColumnFormula>
    </tableColumn>
    <tableColumn id="8" xr3:uid="{46187E2B-5159-473E-BC95-D91BEEFA7B88}" name="Quantity Unit" dataDxfId="170" dataCellStyle="Content normal">
      <calculatedColumnFormula array="1">Common_InputFunctions.Utility_DisplayArrayInTable(Scope3_SourceData.Scope3_SoilAmendments_Data(), Table_SourceData_Scope3_SoilAmeliorants[[#Headers],[Category]], 0, 2)</calculatedColumnFormula>
    </tableColumn>
    <tableColumn id="9" xr3:uid="{3ED39842-E737-43E9-A48D-593778620EAD}" name="Emissions intensity" dataDxfId="169" dataCellStyle="Content normal">
      <calculatedColumnFormula array="1">Common_InputFunctions.Utility_DisplayArrayInTable(Scope3_SourceData.Scope3_SoilAmendments_Data(), Table_SourceData_Scope3_SoilAmeliorants[[#Headers],[Category]], 0, 2)</calculatedColumnFormula>
    </tableColumn>
    <tableColumn id="10" xr3:uid="{15F5670B-FFD8-4DE8-8D15-610C9482276F}" name="System boundary" dataDxfId="168" dataCellStyle="Content normal">
      <calculatedColumnFormula array="1">Common_InputFunctions.Utility_DisplayArrayInTable(Scope3_SourceData.Scope3_SoilAmendments_Data(), Table_SourceData_Scope3_SoilAmeliorants[[#Headers],[Category]], 0, 2)</calculatedColumnFormula>
    </tableColumn>
    <tableColumn id="4" xr3:uid="{E3BA337C-9477-4EDA-BE60-788AC203600D}" name="Source" dataDxfId="167"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CA5A870D-277E-4C4F-A6D6-4AC9B679BA32}" name="Table_SourceData_Scope3_ChemicalsPharmacy" displayName="Table_SourceData_Scope3_ChemicalsPharmacy" ref="D82:J86" totalsRowShown="0" dataDxfId="166"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4774F0A-35E6-4264-978A-5A510C221B58}" name="Category" dataDxfId="165" dataCellStyle="Content normal">
      <calculatedColumnFormula array="1">Common_InputFunctions.Utility_DisplayArrayInTable(Scope3_SourceData.Scope3_Chemicals_Data(), Table_SourceData_Scope3_ChemicalsPharmacy[[#Headers],[Category]], -3, 2)</calculatedColumnFormula>
    </tableColumn>
    <tableColumn id="2" xr3:uid="{AD13B960-8250-4D1B-9F61-70A1ED415509}" name="Product" dataDxfId="164" dataCellStyle="Content normal">
      <calculatedColumnFormula array="1">Common_InputFunctions.Utility_DisplayArrayInTable(Scope3_SourceData.Scope3_Chemicals_Data(), Table_SourceData_Scope3_ChemicalsPharmacy[[#Headers],[Category]], -3, 2)</calculatedColumnFormula>
    </tableColumn>
    <tableColumn id="3" xr3:uid="{B1523FF4-5E45-4DCF-85FD-1A28DEA7A819}" name="Region of origin" dataDxfId="163" dataCellStyle="Content normal">
      <calculatedColumnFormula array="1">Common_InputFunctions.Utility_DisplayArrayInTable(Scope3_SourceData.Scope3_Chemicals_Data(), Table_SourceData_Scope3_ChemicalsPharmacy[[#Headers],[Category]], -3, 2)</calculatedColumnFormula>
    </tableColumn>
    <tableColumn id="8" xr3:uid="{72907CA1-671F-4EF3-A9FC-8A14355A426D}" name="Quantity Unit" dataDxfId="162" dataCellStyle="Content normal">
      <calculatedColumnFormula array="1">Common_InputFunctions.Utility_DisplayArrayInTable(Scope3_SourceData.Scope3_Chemicals_Data(), Table_SourceData_Scope3_ChemicalsPharmacy[[#Headers],[Category]], -3, 2)</calculatedColumnFormula>
    </tableColumn>
    <tableColumn id="9" xr3:uid="{18AEC278-D80B-4C65-B4D3-454472707C13}" name="Emissions intensity" dataDxfId="161" dataCellStyle="Content normal">
      <calculatedColumnFormula array="1">Common_InputFunctions.Utility_DisplayArrayInTable(Scope3_SourceData.Scope3_Chemicals_Data(), Table_SourceData_Scope3_ChemicalsPharmacy[[#Headers],[Category]], -3, 2)</calculatedColumnFormula>
    </tableColumn>
    <tableColumn id="10" xr3:uid="{BF384276-EDB1-4B45-8081-23F43EDC12CB}" name="System boundary" dataDxfId="160" dataCellStyle="Content normal">
      <calculatedColumnFormula array="1">Common_InputFunctions.Utility_DisplayArrayInTable(Scope3_SourceData.Scope3_Chemicals_Data(), Table_SourceData_Scope3_ChemicalsPharmacy[[#Headers],[Category]], -3, 2)</calculatedColumnFormula>
    </tableColumn>
    <tableColumn id="4" xr3:uid="{6AAB96C2-F25E-4C34-9EA4-2FCD7D537B00}" name="Source" dataDxfId="159" dataCellStyle="Content normal"/>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36B3FE00-05B8-4CE6-92FE-B235FF7C85A0}" name="Table_SourceData_Scope3_LickBlocks" displayName="Table_SourceData_Scope3_LickBlocks" ref="D167:J170" totalsRowShown="0" headerRowDxfId="158"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423DCD-48B2-4F8C-9D02-75A708276012}" name="Category" dataDxfId="157" dataCellStyle="Content normal">
      <calculatedColumnFormula array="1">Common_InputFunctions.Utility_DisplayArrayInTable(Scope3_SourceData.Scope3_Feed_Data(), Table_SourceData_Scope3_LickBlocks[[#Headers],[Category]], -73, 2)</calculatedColumnFormula>
    </tableColumn>
    <tableColumn id="2" xr3:uid="{5732FCB1-C0F0-44DB-A03F-A981DA924753}" name="Product" dataDxfId="156" dataCellStyle="Content normal">
      <calculatedColumnFormula array="1">Common_InputFunctions.Utility_DisplayArrayInTable(Scope3_SourceData.Scope3_Feed_Data(), Table_SourceData_Scope3_LickBlocks[[#Headers],[Category]], -73, 2)</calculatedColumnFormula>
    </tableColumn>
    <tableColumn id="3" xr3:uid="{B7631740-C52D-4937-AFFA-4A41B063EE7B}" name="Region of origin" dataDxfId="155" dataCellStyle="Content normal">
      <calculatedColumnFormula array="1">Common_InputFunctions.Utility_DisplayArrayInTable(Scope3_SourceData.Scope3_Feed_Data(), Table_SourceData_Scope3_LickBlocks[[#Headers],[Category]], -73, 2)</calculatedColumnFormula>
    </tableColumn>
    <tableColumn id="4" xr3:uid="{4329A875-E801-4D43-9049-9624F021EB14}" name="Quantity Unit" dataDxfId="154" dataCellStyle="Content normal">
      <calculatedColumnFormula array="1">Common_InputFunctions.Utility_DisplayArrayInTable(Scope3_SourceData.Scope3_Feed_Data(), Table_SourceData_Scope3_LickBlocks[[#Headers],[Category]], -73, 2)</calculatedColumnFormula>
    </tableColumn>
    <tableColumn id="5" xr3:uid="{9458A6FF-7A82-41F1-AC42-F92CBE79C3F8}" name="Emissions intensity" dataDxfId="153" dataCellStyle="Content normal">
      <calculatedColumnFormula array="1">Common_InputFunctions.Utility_DisplayArrayInTable(Scope3_SourceData.Scope3_Feed_Data(), Table_SourceData_Scope3_LickBlocks[[#Headers],[Category]], -73, 2)</calculatedColumnFormula>
    </tableColumn>
    <tableColumn id="6" xr3:uid="{177F6183-15C3-4B13-B6B9-A7DF27621EA1}" name="System boundary" dataDxfId="152" dataCellStyle="Content normal">
      <calculatedColumnFormula array="1">Common_InputFunctions.Utility_DisplayArrayInTable(Scope3_SourceData.Scope3_Feed_Data(), Table_SourceData_Scope3_LickBlocks[[#Headers],[Category]], -73, 2)</calculatedColumnFormula>
    </tableColumn>
    <tableColumn id="7" xr3:uid="{7EA84549-8AF5-4931-9000-A6CBD589C1ED}" name="Source" dataDxfId="151"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E517E8F0-16EF-49D3-85EE-6E8087DAB6C2}" name="Table_SourceData_Scope3_MixedRations" displayName="Table_SourceData_Scope3_MixedRations" ref="D161:J165" totalsRowShown="0" headerRowDxfId="150"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05C1ABB-EE6C-4AF4-9066-96D9EF943900}" name="Category" dataDxfId="149" dataCellStyle="Content normal">
      <calculatedColumnFormula array="1">Common_InputFunctions.Utility_DisplayArrayInTable(Scope3_SourceData.Scope3_Feed_Data(), Table_SourceData_Scope3_MixedRations[[#Headers],[Category]], -66, 2)</calculatedColumnFormula>
    </tableColumn>
    <tableColumn id="2" xr3:uid="{70C9310D-47D0-40E5-8882-EF4749AF8210}" name="Product" dataDxfId="148" dataCellStyle="Content normal">
      <calculatedColumnFormula array="1">Common_InputFunctions.Utility_DisplayArrayInTable(Scope3_SourceData.Scope3_Feed_Data(), Table_SourceData_Scope3_MixedRations[[#Headers],[Category]], -66, 2)</calculatedColumnFormula>
    </tableColumn>
    <tableColumn id="3" xr3:uid="{73ECA2CA-29FD-4D7E-9C37-C8F03D4DD1BD}" name="Region of origin" dataDxfId="147" dataCellStyle="Content normal">
      <calculatedColumnFormula array="1">Common_InputFunctions.Utility_DisplayArrayInTable(Scope3_SourceData.Scope3_Feed_Data(), Table_SourceData_Scope3_MixedRations[[#Headers],[Category]], -66, 2)</calculatedColumnFormula>
    </tableColumn>
    <tableColumn id="4" xr3:uid="{A9AD38A8-A271-4EDD-935D-54590F772019}" name="Quantity Unit" dataDxfId="146" dataCellStyle="Content normal">
      <calculatedColumnFormula array="1">Common_InputFunctions.Utility_DisplayArrayInTable(Scope3_SourceData.Scope3_Feed_Data(), Table_SourceData_Scope3_MixedRations[[#Headers],[Category]], -66, 2)</calculatedColumnFormula>
    </tableColumn>
    <tableColumn id="5" xr3:uid="{1B05BCF5-2CFC-4573-AA76-090A210FD05E}" name="Emissions intensity" dataDxfId="145" dataCellStyle="Content normal">
      <calculatedColumnFormula array="1">Common_InputFunctions.Utility_DisplayArrayInTable(Scope3_SourceData.Scope3_Feed_Data(), Table_SourceData_Scope3_MixedRations[[#Headers],[Category]], -66, 2)</calculatedColumnFormula>
    </tableColumn>
    <tableColumn id="6" xr3:uid="{5FCE5BB7-029F-441F-B2FB-2C8631E3C3B4}" name="System boundary" dataDxfId="144" dataCellStyle="Content normal">
      <calculatedColumnFormula array="1">Common_InputFunctions.Utility_DisplayArrayInTable(Scope3_SourceData.Scope3_Feed_Data(), Table_SourceData_Scope3_MixedRations[[#Headers],[Category]], -66, 2)</calculatedColumnFormula>
    </tableColumn>
    <tableColumn id="7" xr3:uid="{0888C488-0B7E-492D-B949-966A6F673B3C}" name="Source" dataDxfId="143" dataCellStyle="Content normal"/>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F8B6B4FF-4025-45FA-A1AA-FF090502D10F}"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39FFD527-5C62-49D2-9A9E-DF76F8D95EF3}" name="Product">
      <calculatedColumnFormula>Table_SourceData_Scope3_FishFeedAndBait[[#This Row],[Product]]</calculatedColumnFormula>
    </tableColumn>
    <tableColumn id="2" xr3:uid="{35F41B29-9EE7-4923-BB61-D355819EDD44}"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E4232F74-DC05-4D2B-82D4-91FB942CE026}"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E75573BA-E21F-4B72-8522-1944E7A7AAFB}" name="Product">
      <calculatedColumnFormula>Table_SourceData_Scope3_Feed[[#This Row],[Product]]</calculatedColumnFormula>
    </tableColumn>
    <tableColumn id="2" xr3:uid="{F01393E0-7AE3-4845-9E1A-5E1EEC93AAB4}"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E404BF7-AA5A-4A14-B4A1-0810A1F52180}" name="Table_ProductRegions_Maizegrain" displayName="Table_ProductRegions_Maizegrain" ref="L97:M104" totalsRowShown="0" headerRowDxfId="142" headerRowCellStyle="Content normal">
  <autoFilter ref="L97:M104" xr:uid="{70F320A7-5DBE-4A83-91E4-C9B3BDA564BD}">
    <filterColumn colId="0" hiddenButton="1"/>
    <filterColumn colId="1" hiddenButton="1"/>
  </autoFilter>
  <tableColumns count="2">
    <tableColumn id="1" xr3:uid="{E3D1A361-F819-4498-AB64-C1A171CFF45C}" name="Product">
      <calculatedColumnFormula>Table_SourceData_Scope3_Feed[[#This Row],[Product]]</calculatedColumnFormula>
    </tableColumn>
    <tableColumn id="2" xr3:uid="{1F4710D8-0F68-4A34-9459-44AB27DC0DB4}"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40ED9140-16D8-417A-BBE3-7042C21F8CEE}" name="Table_ProductRegions_Sorghumgrain" displayName="Table_ProductRegions_Sorghumgrain" ref="O104:P109" totalsRowShown="0" headerRowDxfId="141" headerRowCellStyle="Content normal">
  <autoFilter ref="O104:P109" xr:uid="{90205417-8A77-41A3-A4E2-624BD92B7269}">
    <filterColumn colId="0" hiddenButton="1"/>
    <filterColumn colId="1" hiddenButton="1"/>
  </autoFilter>
  <tableColumns count="2">
    <tableColumn id="1" xr3:uid="{36F0BE8C-40BD-45FB-97D2-D5DDCDCFE397}" name="Product">
      <calculatedColumnFormula>Table_SourceData_Scope3_Feed[[#This Row],[Product]]</calculatedColumnFormula>
    </tableColumn>
    <tableColumn id="2" xr3:uid="{87A28316-2BDE-45E3-A46F-C42FE9851C0A}"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C9BE0092-365A-495E-BDD8-31C0DF9602E0}" name="Table_ProductRegions_Wheatgrain" displayName="Table_ProductRegions_Wheatgrain" ref="L109:M117" totalsRowShown="0" headerRowDxfId="140" headerRowCellStyle="Content normal">
  <autoFilter ref="L109:M117" xr:uid="{9DD7D3AD-59A1-48FC-B80D-99C25A2A79F5}">
    <filterColumn colId="0" hiddenButton="1"/>
    <filterColumn colId="1" hiddenButton="1"/>
  </autoFilter>
  <tableColumns count="2">
    <tableColumn id="1" xr3:uid="{1923E5A4-A66D-4F0F-B588-35E2418DD6D1}" name="Product">
      <calculatedColumnFormula>Table_SourceData_Scope3_Feed[[#This Row],[Product]]</calculatedColumnFormula>
    </tableColumn>
    <tableColumn id="2" xr3:uid="{1A64C7CE-80D0-44F9-9AEE-2A55F6ADF00C}"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3F9ED683-CF6D-487A-9F60-308E8B0D9018}"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3A522504-5115-4B84-B5CD-112699423848}" name="Product">
      <calculatedColumnFormula>Table_SourceData_Scope3_Feed[[#This Row],[Product]]</calculatedColumnFormula>
    </tableColumn>
    <tableColumn id="2" xr3:uid="{A56966B4-EC2C-44FB-8DD5-6008569ED62F}" name="Region">
      <calculatedColumnFormula>Table_SourceData_Scope3_Feed[[#This Row],[Region of origin]]</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1CD74E7E-CA8B-4DC5-B311-8642C02FCC88}"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6CCE3736-B6DF-4955-9B6F-8BA278A480BB}" name="Product">
      <calculatedColumnFormula>Table_SourceData_Scope3_Feed[[#This Row],[Product]]</calculatedColumnFormula>
    </tableColumn>
    <tableColumn id="2" xr3:uid="{EE837F6A-2CAF-4265-9C45-0383FA651387}" name="Region">
      <calculatedColumnFormula>Table_SourceData_Scope3_Feed[[#This Row],[Region of origin]]</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E9D526B-97DA-4B8E-84F0-C15F70E73266}"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43F185FF-B711-42A4-9356-5D1D9CE460EB}" name="Product">
      <calculatedColumnFormula>Table_SourceData_Scope3_Feed[[#This Row],[Product]]</calculatedColumnFormula>
    </tableColumn>
    <tableColumn id="2" xr3:uid="{0208D4C1-20C3-41BA-B943-974BF806EFE8}" name="Region">
      <calculatedColumnFormula>Table_SourceData_Scope3_Feed[[#This Row],[Region of origin]]</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C59B6A38-DCA6-4DF6-8B94-C578BC8385B5}"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7E8B51ED-4216-4E9A-8F81-34E7437183AE}" name="Product">
      <calculatedColumnFormula>Table_SourceData_Scope3_Feed[[#This Row],[Product]]</calculatedColumnFormula>
    </tableColumn>
    <tableColumn id="2" xr3:uid="{CC262BB3-D0C3-4494-B73B-8A6A7C625D27}" name="Region">
      <calculatedColumnFormula>Table_SourceData_Scope3_Feed[[#This Row],[Region of origin]]</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4444F4B-44A4-456F-8002-EE743D1CB5CA}"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47338D00-7960-4AB7-A665-C3AD45B9B759}" name="Product">
      <calculatedColumnFormula>Table_SourceData_Scope3_Feed[[#This Row],[Product]]</calculatedColumnFormula>
    </tableColumn>
    <tableColumn id="2" xr3:uid="{7884AF86-ACEA-425A-A974-169BA763DBA0}" name="Region">
      <calculatedColumnFormula>Table_SourceData_Scope3_Feed[[#This Row],[Region of origin]]</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542A290-640E-41E9-A405-1802755229BD}" name="Table_ProductRegions_Canolameal" displayName="Table_ProductRegions_Canolameal" ref="L150:M151" totalsRowShown="0" headerRowDxfId="139" headerRowCellStyle="Content normal" dataCellStyle="Content normal">
  <autoFilter ref="L150:M151" xr:uid="{58F78B6F-294E-4D4E-8E3B-BFE4FA85583E}">
    <filterColumn colId="0" hiddenButton="1"/>
    <filterColumn colId="1" hiddenButton="1"/>
  </autoFilter>
  <tableColumns count="2">
    <tableColumn id="1" xr3:uid="{E370A7D1-8530-4E01-994B-AEBE4FED6C2B}" name="Product" dataCellStyle="Content normal">
      <calculatedColumnFormula>Table_SourceData_Scope3_Feed[[#This Row],[Product]]</calculatedColumnFormula>
    </tableColumn>
    <tableColumn id="2" xr3:uid="{21078263-8A41-40A9-B117-A714D86E56F6}"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89A2530-3470-4465-BA77-06C59F013788}"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40F56F17-B548-4AC3-9598-2F1451260588}" name="Product">
      <calculatedColumnFormula>Table_SourceData_Scope3_Feed[[#This Row],[Product]]</calculatedColumnFormula>
    </tableColumn>
    <tableColumn id="2" xr3:uid="{EBE05005-8499-41DF-A73F-0D50030DFBB0}" name="Region">
      <calculatedColumnFormula>Table_SourceData_Scope3_Feed[[#This Row],[Region of origin]]</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47935C3-6BCB-4DFF-8899-A02629AD0C80}"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F797B84C-55C7-4B5E-9498-3A02BCD8A50E}" name="Product">
      <calculatedColumnFormula>Table_SourceData_Scope3_Feed[[#This Row],[Product]]</calculatedColumnFormula>
    </tableColumn>
    <tableColumn id="2" xr3:uid="{4F0BC8BF-0FA7-40B0-853B-54D27C07AC86}" name="Region">
      <calculatedColumnFormula>Table_SourceData_Scope3_Feed[[#This Row],[Region of origin]]</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D3A0F711-10E0-4F77-A41A-2090383CD2F4}"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DF16F622-2D74-4204-B9C3-708AE8679340}" name="Product">
      <calculatedColumnFormula>Table_SourceData_Scope3_Feed[[#This Row],[Product]]</calculatedColumnFormula>
    </tableColumn>
    <tableColumn id="2" xr3:uid="{AB00B34D-60BF-4855-BC21-68AB40F81674}" name="Region">
      <calculatedColumnFormula>Table_SourceData_Scope3_Feed[[#This Row],[Region of origin]]</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F05A1CE-A1AE-48EB-88C0-FDE4D0EF2D44}"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D6C39BF7-A214-45F0-B567-E115BC99B119}" name="Product">
      <calculatedColumnFormula>Table_SourceData_Scope3_Feed[[#This Row],[Product]]</calculatedColumnFormula>
    </tableColumn>
    <tableColumn id="2" xr3:uid="{3A53C507-1831-43DD-B35C-9C7E9F810D22}" name="Region">
      <calculatedColumnFormula>Table_SourceData_Scope3_Feed[[#This Row],[Region of origin]]</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A6FE0135-0BEB-41DB-8331-BCB4AC373CF2}"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E0F5A76B-B3D2-4FE2-9BAE-AE6004028855}" name="Product">
      <calculatedColumnFormula>Table_SourceData_Scope3_Feed[[#This Row],[Product]]</calculatedColumnFormula>
    </tableColumn>
    <tableColumn id="2" xr3:uid="{588B35DC-30EB-4CEC-9D68-18EF09FC7606}" name="Region">
      <calculatedColumnFormula>Table_SourceData_Scope3_Feed[[#This Row],[Region of origin]]</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657DA8F-0D0B-43F2-ABF0-3A0088AD7DF6}"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5DC02C66-A1DC-4428-A43C-FF8257B96026}" name="Product">
      <calculatedColumnFormula>Table_SourceData_Scope3_Feed[[#This Row],[Product]]</calculatedColumnFormula>
    </tableColumn>
    <tableColumn id="2" xr3:uid="{FB761484-67A3-4319-810D-08DE63DB7DF9}" name="Region">
      <calculatedColumnFormula>Table_SourceData_Scope3_Feed[[#This Row],[Region of origin]]</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F3411D74-C38A-4129-9A30-D418AD4F9404}"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F07CA635-0FBC-4281-BA44-D7042414CC2E}" name="Product">
      <calculatedColumnFormula>Table_SourceData_Scope3_Feed[[#This Row],[Product]]</calculatedColumnFormula>
    </tableColumn>
    <tableColumn id="2" xr3:uid="{344A54B9-28BE-4E1C-B6CA-E33C338EED20}" name="Region">
      <calculatedColumnFormula>Table_SourceData_Scope3_Feed[[#This Row],[Region of origin]]</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BD5E5230-8AA5-4801-BB0E-82621D0EABA7}"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43B4DDE4-0031-4A0B-9EE0-9318E958249B}" name="Region"/>
    <tableColumn id="2" xr3:uid="{B455D2D8-E1D2-4221-8FE2-5FBEBC1E4325}" name="Scope3 regio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E79D6E39-58CE-44A5-AC83-216ED18D36CB}" name="Table_SourceData_Scope3_FishFeedAndBait" displayName="Table_SourceData_Scope3_FishFeedAndBait" ref="D241:J247" totalsRowShown="0" dataDxfId="138"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C25FCEA7-6A7E-4534-A804-144EDB93B09F}" name="Category" dataDxfId="137" dataCellStyle="Content normal">
      <calculatedColumnFormula array="1">Common_InputFunctions.Utility_DisplayArrayInTable(Scope3_SourceData.Scope3_FishFeedAndBait_Data(), Table_SourceData_Scope3_FishFeedAndBait[[#Headers],[Category]], 0, 1)</calculatedColumnFormula>
    </tableColumn>
    <tableColumn id="1" xr3:uid="{2BC09048-3CE9-4955-AD4C-F9D268EF5037}" name="Product" dataDxfId="136" dataCellStyle="Content normal">
      <calculatedColumnFormula array="1">Common_InputFunctions.Utility_DisplayArrayInTable(Scope3_SourceData.Scope3_FishFeedAndBait_Data(), Table_SourceData_Scope3_FishFeedAndBait[[#Headers],[Category]], 0, 1)</calculatedColumnFormula>
    </tableColumn>
    <tableColumn id="2" xr3:uid="{10F8C1E4-B816-439D-8A49-143E1B99E151}" name="Region of origin" dataDxfId="135" dataCellStyle="Content normal">
      <calculatedColumnFormula array="1">Common_InputFunctions.Utility_DisplayArrayInTable(Scope3_SourceData.Scope3_FishFeedAndBait_Data(), Table_SourceData_Scope3_FishFeedAndBait[[#Headers],[Category]], 0, 1)</calculatedColumnFormula>
    </tableColumn>
    <tableColumn id="3" xr3:uid="{78A3027F-8DF3-4F5D-85D4-D34A83C6324E}" name="Quantity Unit" dataDxfId="134" dataCellStyle="Content normal">
      <calculatedColumnFormula array="1">Common_InputFunctions.Utility_DisplayArrayInTable(Scope3_SourceData.Scope3_FishFeedAndBait_Data(), Table_SourceData_Scope3_FishFeedAndBait[[#Headers],[Category]], 0, 1)</calculatedColumnFormula>
    </tableColumn>
    <tableColumn id="4" xr3:uid="{27F02BF8-3A2E-4D11-AF82-79C1130C1753}" name="Emissions intensity" dataDxfId="133" dataCellStyle="Content normal">
      <calculatedColumnFormula array="1">Common_InputFunctions.Utility_DisplayArrayInTable(Scope3_SourceData.Scope3_FishFeedAndBait_Data(), Table_SourceData_Scope3_FishFeedAndBait[[#Headers],[Category]], 0, 1)</calculatedColumnFormula>
    </tableColumn>
    <tableColumn id="5" xr3:uid="{DA73C742-32E6-40FF-9138-8E7E7BB19EFA}" name="System boundary" dataDxfId="132" dataCellStyle="Content normal">
      <calculatedColumnFormula array="1">Common_InputFunctions.Utility_DisplayArrayInTable(Scope3_SourceData.Scope3_FishFeedAndBait_Data(), Table_SourceData_Scope3_FishFeedAndBait[[#Headers],[Category]], 0, 1)</calculatedColumnFormula>
    </tableColumn>
    <tableColumn id="8" xr3:uid="{90E301B9-9B43-4BC3-B095-7379FFB614DB}" name="Source" dataDxfId="131"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C478747-1F5D-47EE-BF4A-E425947C11C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A287FA3-800B-4A3C-B890-EE3EB2C92498}" name="State/Territory">
      <calculatedColumnFormula array="1">Common_InputFunctions.Utility_DisplayArrayInTable(Common_SourceData.Common_SourceData_AustralianStatesTerritories_Data(),Table_AustralianStates[[#Headers],[State/Territory]],0)</calculatedColumnFormula>
    </tableColumn>
    <tableColumn id="2" xr3:uid="{96370351-02C0-481B-ABA4-01406FE3BD55}" name="Common Name">
      <calculatedColumnFormula array="1">Common_InputFunctions.Utility_DisplayArrayInTable(Common_SourceData.Common_SourceData_AustralianStatesTerritories_Data(),Table_AustralianStates[[#Headers],[State/Territory]],0)</calculatedColumnFormula>
    </tableColumn>
    <tableColumn id="3" xr3:uid="{842546B1-B984-44F3-AC64-19842544880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39DC0B0-B96D-42DE-A74F-9666165298BB}" name="Table_WASA4Areas" displayName="Table_WASA4Areas" ref="D20:D30" totalsRowShown="0">
  <autoFilter ref="D20:D30" xr:uid="{5FA81339-C6C8-4D36-BEEA-6C4AEDD9E676}">
    <filterColumn colId="0" hiddenButton="1"/>
  </autoFilter>
  <tableColumns count="1">
    <tableColumn id="1" xr3:uid="{CEB26DE3-6D08-4488-BCC5-CAF66DA074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088AC4D-D2BB-4119-86D0-5C4ECEF277E6}" name="Table_GWPData" displayName="Table_GWPData" ref="D36:E43" totalsRowShown="0">
  <autoFilter ref="D36:E43" xr:uid="{B8E87A66-3E41-4AD3-925D-01EE21B43D7A}">
    <filterColumn colId="0" hiddenButton="1"/>
    <filterColumn colId="1" hiddenButton="1"/>
  </autoFilter>
  <tableColumns count="2">
    <tableColumn id="1" xr3:uid="{8B79CC01-3ECE-4E13-BCFA-D269536A7BCE}" name="Gas">
      <calculatedColumnFormula array="1">Common_InputFunctions.Utility_DisplayArrayInTable(Common_SourceData.Common_SourceData_GWP_Data(), Table_GWPData[[#Headers],[Gas]], 0)</calculatedColumnFormula>
    </tableColumn>
    <tableColumn id="2" xr3:uid="{1429926F-63F9-41B0-922F-6ECBEB0F51C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082FF7C-D65B-40DD-A145-3895A8DB7C1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4DBA2455-78CB-4D98-AA3F-09E76468921A}" name="Gas">
      <calculatedColumnFormula array="1">Common_InputFunctions.Utility_DisplayArrayInTable(Common_SourceData.Common_SourceData_ConvertGasElementalToMolecular_Data(),Table_GasToMolecularConversionFactor[[#Headers],[Gas]], 0)</calculatedColumnFormula>
    </tableColumn>
    <tableColumn id="5" xr3:uid="{847F9075-C0C3-424A-89AD-B0E0C46CC2B7}" name="Conversion factor">
      <calculatedColumnFormula array="1">Common_InputFunctions.Utility_DisplayArrayInTable(Common_SourceData.Common_SourceData_ConvertGasElementalToMolecular_Data(),Table_GasToMolecularConversionFactor[[#Headers],[Gas]], 0)</calculatedColumnFormula>
    </tableColumn>
    <tableColumn id="2" xr3:uid="{B3F423E7-5422-4AB0-8E9F-FE964D1AB28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0878C27-AF09-4C3E-AA84-4643A115F4B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AA59925-0E1E-4C81-A2FE-508039861BCA}"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CB345A-1C1C-4903-883E-95B118EE9D5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22A5368-2115-4AFA-9E1B-55763DE8967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85395033-5600-477B-B2A8-F9DD6340CCA7}" name="MAT"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3" xr3:uid="{CFC93F08-2BC7-4BBC-A029-A0CEEFC4A386}" name="MAP"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4" xr3:uid="{7EEE0652-905E-4C60-9EA8-BB1B972258D1}" name="Frost days per year"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5" xr3:uid="{097C0B4C-AE79-4AEF-9D0C-8729F8FD7AE7}" name="Elevation"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6" xr3:uid="{FEB741F7-AC5C-4AEE-9552-9D4B6ECAE991}" name="MAP:PET"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7" xr3:uid="{D5410FE5-B548-4931-A6AC-14C2144A60DA}" name="Min temp"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8" xr3:uid="{5A1A3BF3-FC1C-49D4-864A-417D756978EB}" name="Max temp"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9" xr3:uid="{2C3E4891-FDD2-45D8-9E12-D7E20AB2C942}" name="Min rainfall"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0" xr3:uid="{5C2EEE10-BE60-43AB-BD46-3D5857E233F0}" name="Max rainfall"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1" xr3:uid="{B8D4FB2A-E41F-41E4-A1B0-B50B6F4B8222}" name="Min frost days"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5" xr3:uid="{D1F195A5-29D3-4872-B840-5C2B982B31D3}" name="Max frost days"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2" xr3:uid="{D7C29537-FEDC-4D4C-ACE3-42DDEEA677B7}" name="Min elevation"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16" xr3:uid="{958174B2-155C-4F21-8FC1-CAED3FC453D2}" name="Max elevation"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13" xr3:uid="{17E613AB-F9F0-404A-8CFE-A6BE09D2A63F}" name="Min MAP:PET"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17" xr3:uid="{1E04DA75-1873-41D6-92F5-FFC40E85975A}" name="Max MAP:PET" totalsRowDxfId="11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8EA0F00-70EE-4353-B983-2572CEB0F04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8F355FA-9E18-4624-B96F-3F7C85E0C75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23F64E-887D-4EF9-9FE8-07F603CE353D}" name="Wet or Dry Zone" totalsRowDxfId="11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3AFA370-8738-4E34-8DE5-34791278D8C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028E416-FD0D-4083-A9D9-9CDCBCBAB5EC}" name="Temperature Zone">
      <calculatedColumnFormula array="1">Common_InputFunctions.Utility_DisplayArrayInTable(Common_SourceData.Common_SourceData_TemperatureZones_Data(),Table_SourceData_TemperatureZones[[#Headers],[Temperature Zone]],0)</calculatedColumnFormula>
    </tableColumn>
    <tableColumn id="2" xr3:uid="{3213D349-5EBF-4936-AAA8-D15F4B964FB1}" name="MAT">
      <calculatedColumnFormula array="1">Common_InputFunctions.Utility_DisplayArrayInTable(Common_SourceData.Common_SourceData_TemperatureZones_Data(),Table_SourceData_TemperatureZones[[#Headers],[Temperature Zone]],0)</calculatedColumnFormula>
    </tableColumn>
    <tableColumn id="3" xr3:uid="{E0EBBFC7-A140-40A8-8E12-520D0626130C}" name="Min MAT">
      <calculatedColumnFormula array="1">Common_InputFunctions.Utility_DisplayArrayInTable(Common_SourceData.Common_SourceData_TemperatureZones_Data(),Table_SourceData_TemperatureZones[[#Headers],[Temperature Zone]],0)</calculatedColumnFormula>
    </tableColumn>
    <tableColumn id="4" xr3:uid="{D697D416-FDA5-4372-8BBC-3176E39220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04C603B-B6F6-4EF5-BD98-BFD203645EB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ADDB08F-80D5-4814-A2A0-D98870369EC7}" name="Rainfall Zone">
      <calculatedColumnFormula array="1">Common_InputFunctions.Utility_DisplayArrayInTable(Common_SourceData.Common_SourceData_RainfallZones_Data(),Table_SourceData_RainfallZones[[#Headers],[Rainfall Zone]],0)</calculatedColumnFormula>
    </tableColumn>
    <tableColumn id="2" xr3:uid="{E0DE79E3-5186-40AE-AFE3-FF55A6EEA374}" name="Annual rainfall">
      <calculatedColumnFormula array="1">Common_InputFunctions.Utility_DisplayArrayInTable(Common_SourceData.Common_SourceData_RainfallZones_Data(),Table_SourceData_RainfallZones[[#Headers],[Rainfall Zone]],0)</calculatedColumnFormula>
    </tableColumn>
    <tableColumn id="3" xr3:uid="{31804A76-4AC7-4705-A77D-2CCE1E9337BE}" name="Min rainfall">
      <calculatedColumnFormula array="1">Common_InputFunctions.Utility_DisplayArrayInTable(Common_SourceData.Common_SourceData_RainfallZones_Data(),Table_SourceData_RainfallZones[[#Headers],[Rainfall Zone]],0)</calculatedColumnFormula>
    </tableColumn>
    <tableColumn id="4" xr3:uid="{D9EF56B1-0415-4006-AE4F-4DB80FEDB32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AA4CFA5-F9FD-4055-8934-17ECCA2F6C8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1F7D022-6B55-4D8B-932F-227988594410}" name="Leaching Zone">
      <calculatedColumnFormula array="1">Common_InputFunctions.Utility_DisplayArrayInTable(Common_SourceData.Common_SourceData_LeachingZones_Data(), Table_SourceData_LeachingZones[[#Headers],[Leaching Zone]], 0)</calculatedColumnFormula>
    </tableColumn>
    <tableColumn id="2" xr3:uid="{2F08230F-DF28-4379-B8D2-B1FBE7194F9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1C3C94-FBA2-41C7-A91E-9959E5819B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A7BCDD8-83C0-455D-9496-7FEF773FF5E2}" name="Data source">
      <calculatedColumnFormula array="1">Common_InputFunctions.Utility_DisplayArrayInTable(Common_SourceData.Common_SourceData_DataScores_Scope3_Data(), Table_SourceData_DataScores_Scope3[[#Headers],[Data source]], 0)</calculatedColumnFormula>
    </tableColumn>
    <tableColumn id="2" xr3:uid="{E2BCFC54-9252-41C2-9D03-980F90A46BF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80D15C-3F73-4E88-9643-0E3B7226C575}" name="Table_SourceData_FracWET" displayName="Table_SourceData_FracWET" ref="D134:E136" totalsRowShown="0">
  <autoFilter ref="D134:E136" xr:uid="{308E99BE-FE1F-47A4-B2CA-97217277C4E9}">
    <filterColumn colId="0" hiddenButton="1"/>
    <filterColumn colId="1" hiddenButton="1"/>
  </autoFilter>
  <tableColumns count="2">
    <tableColumn id="1" xr3:uid="{52D54B98-3F5C-4DAD-91D8-47209B1CBF0F}" name="Is in leaching zone">
      <calculatedColumnFormula array="1">Common_InputFunctions.Utility_DisplayArrayInTable(Common_SourceData.Common_SourceData_FracWET_Data(),Table_SourceData_FracWET[[#Headers],[Is in leaching zone]],0)</calculatedColumnFormula>
    </tableColumn>
    <tableColumn id="2" xr3:uid="{9A57EC7B-E1C2-4105-B13E-4EB510230417}" name="FracWET" dataDxfId="11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7F96F76-16B5-4D2C-B2C0-0677F9A62AA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77D4AE1-5BBD-45EF-BFCD-46D4274DEA0D}" name="Production system j">
      <calculatedColumnFormula array="1">Common_InputFunctions.Utility_DisplayArrayInTable(Common_SourceData.Common_SourceData_EFN2O_Data(), Table_SourceData_Common_EFN2O[[#Headers],[Production system j]], 0)</calculatedColumnFormula>
    </tableColumn>
    <tableColumn id="2" xr3:uid="{C6CCA8D0-AB73-4541-AA09-167B095E7B82}" name="EFN2O">
      <calculatedColumnFormula array="1">Common_InputFunctions.Utility_DisplayArrayInTable(Common_SourceData.Common_SourceData_EFN2O_Data(), Table_SourceData_Common_EFN2O[[#Headers],[Production system j]], 0)</calculatedColumnFormula>
    </tableColumn>
    <tableColumn id="3" xr3:uid="{204083C8-C399-4D6B-B0B2-8991D4E5A8F7}" name="Production system only">
      <calculatedColumnFormula array="1">Common_InputFunctions.Utility_DisplayArrayInTable(Common_SourceData.Common_SourceData_EFN2O_Data(), Table_SourceData_Common_EFN2O[[#Headers],[Production system j]], 0)</calculatedColumnFormula>
    </tableColumn>
    <tableColumn id="4" xr3:uid="{973DD926-23DF-46A2-AD58-D64F34F24EFA}" name="Irrigation method">
      <calculatedColumnFormula array="1">Common_InputFunctions.Utility_DisplayArrayInTable(Common_SourceData.Common_SourceData_EFN2O_Data(), Table_SourceData_Common_EFN2O[[#Headers],[Production system j]], 0)</calculatedColumnFormula>
    </tableColumn>
    <tableColumn id="5" xr3:uid="{E046B314-7010-4676-A5EB-F80F38D4F3A9}"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EBC22D0-6B32-4611-AF7D-E42A8F1055F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C001083-286C-4E7A-AD5C-B894196CEE00}" name="Irrigation type i">
      <calculatedColumnFormula array="1">Common_InputFunctions.Utility_DisplayArrayInTable(Common_SourceData.Common_SourceData_FracWETIrrigation_Data(), Table_SourceData_FracWETIrrigation[[#Headers],[Irrigation type i]], 0)</calculatedColumnFormula>
    </tableColumn>
    <tableColumn id="2" xr3:uid="{DE1A60AE-C5D5-49AC-95C8-8D0AAEB02582}" name="FracWET" dataDxfId="11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BD8BBAD-D110-4F14-9BA3-022B7AA72A9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596886-0825-40AB-8B15-2DDEA3CCEB30}"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A08677F-AAE3-40D4-BEDE-23058A375EDA}" name="EFPRP" dataDxfId="11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362327E-5357-47F6-8F2F-705B458BCC4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7C75E7A-19E3-47ED-8896-2766A83C634A}" name="Month">
      <calculatedColumnFormula array="1">Common_InputFunctions.Utility_DisplayArrayInTable(Common_SourceData.Common_SourceData_MonthsToSeasons_Data(), Table_SourceData_Common_MonthToSeason[[#Headers],[Month]], 0)</calculatedColumnFormula>
    </tableColumn>
    <tableColumn id="2" xr3:uid="{812BD67D-F33D-41B3-8A9B-8A4DB75F9B83}" name="Season" dataDxfId="11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C8652F-8FA0-4F1A-AD28-C3BA994322F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4C72E13-EE2E-41C7-BA47-EFB29BF9831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2CDB234B-55CD-4F04-ABCC-7C1B9BE9C5EA}" name="MAT (ºC)"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1FC9592-470C-4745-BE0C-801EDB73B364}" name="Anaerobic lagoon"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BBADFC2-AD9E-45A1-A477-BCBE2A443483}" name="Digester / covered lagoons"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1489AD5-67B7-4E73-8CF6-B6524734B20F}" name="Liquid systems"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525F1-D92E-45C7-9BF8-3E33E56C8730}" name="Daily spread"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24CB689-3CDB-4700-9377-C73EB2656DE1}" name="Composting (passive windrow)"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0D646B5-9BD0-4389-90A1-3149EF4602EE}" name="Solid storage"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53D8404-CF61-4D43-BB93-FA9A02F1F766}" name="Pit storage"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A04ED5B-4BC1-4A37-9DD3-B2528AAD7D05}" name="Deep litter"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AA791DA-F3A0-4954-BB53-8C5671397221}" name="Poultry manure with bedding"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0CE6F09E-7C27-49A4-B2A7-6B3A0CF05769}" name="Poultry manure without bedding"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2162768-ACCE-48D5-8771-DFE30DA7454E}" name="Direct processing"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0F00B85-C8DF-42B4-9E3D-CEE67B91738F}" name="Direct application"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065A74-641E-40D6-BB3B-C46C0998BA8B}" name="Pasture range and paddock"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8697876-07FA-45DD-A420-6BD64684FC66}" name="MAT raw"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4AA6F70-552D-46BB-96AE-FD3E2133B44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FAA3D460-A09A-40D0-9FC4-A7902DA21DB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96FB2E9-CFF3-46A0-BF64-8B8E1F7DF6B8}" name="EFNi &amp; EFN2Oi" dataDxfId="9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42CC366-20A9-444B-A561-C804E2F99D16}"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7148520C-28F0-4874-9F7C-976B826B4A88}" name="Description" dataDxfId="94" dataCellStyle="Content normal"/>
    <tableColumn id="1" xr3:uid="{4E13974D-F616-49F2-8E9F-954EDBFEB1DF}" name="ID"/>
    <tableColumn id="3" xr3:uid="{D4828A0E-47E2-4749-9825-94EC16B5A930}" name="Score"/>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AA6D4A1-4ED8-4C02-AA02-CEDDB7739BB5}"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5314C418-FE67-4ED2-AFCE-B99D3B3384BF}" name="Description"/>
    <tableColumn id="2" xr3:uid="{C480E577-2F78-4D53-BB14-47F2D4CB7F6B}" name="ID"/>
    <tableColumn id="3" xr3:uid="{27AA2D04-9437-4C31-9825-9D3DEF675DE3}" name="Score"/>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E7EF91D-C903-4E93-8374-8181D0B54E94}"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55C20E7-2F1D-46E4-BCBB-B0560AC9FFBE}" name="Description"/>
    <tableColumn id="2" xr3:uid="{63747E18-1861-4B36-BC18-2372100BAEB5}" name="ID"/>
    <tableColumn id="3" xr3:uid="{60790537-9A08-4B5B-8242-4A2FBE180FEA}" name="Score"/>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C3C5FC3-6328-4E26-A1B1-2FF540B251A3}"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1E03ECF4-A79D-42E7-943F-CF1494573C20}" name="Description"/>
    <tableColumn id="2" xr3:uid="{001CA177-D95B-4CDB-8087-179AE22145B9}" name="ID"/>
    <tableColumn id="3" xr3:uid="{4F4BC539-FCC4-4BE3-BF64-C433A1418A06}" name="Score"/>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910408BB-F7F3-40AD-991C-DED4FE6CE3F9}"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E4AF040A-FB03-4A72-A9E2-434CB7FCDF8E}"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4D9E382B-E173-4B87-BD73-30DB3F911076}" name="Waste type w" dataDxfId="9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5091A094-A468-41B6-9FC7-B3160525554A}" name="EFwt" dataDxfId="9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E7249946-B8BA-4E7E-9F31-BF0A7F6E22F6}" name="EF source" dataDxfId="9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723F5614-D154-4343-A5F9-3FDE246E10B9}"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F13918F2-5BDD-41E0-BB7F-FC06BE3820D6}"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B6CBE7EA-B3A2-4EC4-B174-41A73FA34A84}" name="VTMw" dataDxfId="9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E487E886-28C2-47EB-A997-FD3167656F31}" name="Table_WasteTypes_Landfill" displayName="Table_WasteTypes_Landfill" ref="I16:I27" totalsRowShown="0">
  <autoFilter ref="I16:I27" xr:uid="{99B942E3-1D24-4166-921C-DCC10960718D}">
    <filterColumn colId="0" hiddenButton="1"/>
  </autoFilter>
  <tableColumns count="1">
    <tableColumn id="1" xr3:uid="{30FF7759-0D9C-4295-97CE-17435F4B63D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EDFF4094-5ECD-4367-9340-7F3C179312C4}" name="Table_WasteTypes_Incineration" displayName="Table_WasteTypes_Incineration" ref="K16:K26" totalsRowShown="0" headerRowDxfId="89" headerRowCellStyle="Content normal" dataCellStyle="Content normal">
  <autoFilter ref="K16:K26" xr:uid="{9A900595-7035-4239-9059-ACC16835BF72}">
    <filterColumn colId="0" hiddenButton="1"/>
  </autoFilter>
  <tableColumns count="1">
    <tableColumn id="1" xr3:uid="{2A6560A6-66FE-4B53-9C56-D285708DA8C5}" name="Waste type w" dataCellStyle="Content normal">
      <calculatedColumnFormula>E29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B4B6B8F9-957D-4648-8AF8-7E7863EF5460}" name="Table_WasteTypes_Composting" displayName="Table_WasteTypes_Composting" ref="M16:M21" totalsRowShown="0" headerRowDxfId="88" headerRowCellStyle="Content normal" dataCellStyle="Content normal">
  <autoFilter ref="M16:M21" xr:uid="{5C8D39D3-1330-49EB-B431-1B2B8C8238DC}">
    <filterColumn colId="0" hiddenButton="1"/>
  </autoFilter>
  <tableColumns count="1">
    <tableColumn id="1" xr3:uid="{4A2C53BA-5D55-4396-9BC9-61B6127686DC}" name="Waste type w" totalsRowDxfId="87" dataCellStyle="Content normal">
      <calculatedColumnFormula>E40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8192A688-7136-49F8-87D2-EAC8CCE0134B}" name="Table_WasteTypes_Anaerobicdigestion" displayName="Table_WasteTypes_Anaerobicdigestion" ref="O16:O21" totalsRowShown="0" headerRowDxfId="86" headerRowCellStyle="Content normal" dataCellStyle="Content normal">
  <autoFilter ref="O16:O21" xr:uid="{331EC43E-DF68-429F-A2A4-58BFE6216EC3}">
    <filterColumn colId="0" hiddenButton="1"/>
  </autoFilter>
  <tableColumns count="1">
    <tableColumn id="1" xr3:uid="{C8B655C3-CD10-4D50-AB51-C3A5D6FA30A9}" name="Waste type w" totalsRowDxfId="85" dataCellStyle="Content normal">
      <calculatedColumnFormula>E46</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A0A1CD-8E5B-46C1-9B1B-A6414BB18D09}"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2D91677-2A2D-42DA-8119-4ECEF8794C8C}" name="Input"/>
    <tableColumn id="2" xr3:uid="{D0F60017-C58D-42ED-9BF1-8D01902E8D4D}" name="Temporal representativeness" dataCellStyle="Input select"/>
    <tableColumn id="3" xr3:uid="{08DBDF97-0155-4B2F-8291-54B61FF408BD}" name="Spatial resolution" dataCellStyle="Input select"/>
    <tableColumn id="4" xr3:uid="{022C6E4C-4A1B-4829-929A-D1AA689758A2}" name="Sample size" dataCellStyle="Input select"/>
    <tableColumn id="5" xr3:uid="{28F01E09-BECE-484C-81F3-93DFF53DC900}" name="Notes"/>
    <tableColumn id="6" xr3:uid="{DDF62FEF-8F18-4588-8C64-94585E6BFF74}" name="Evidence files"/>
    <tableColumn id="7" xr3:uid="{05442818-31FF-4B7D-911F-5A30BA48670D}" name="Score" dataCellStyle="Input number general calculated"/>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7.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8.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3.xml.rels><?xml version="1.0" encoding="UTF-8" standalone="yes"?>
<Relationships xmlns="http://schemas.openxmlformats.org/package/2006/relationships"><Relationship Id="rId8" Type="http://schemas.openxmlformats.org/officeDocument/2006/relationships/table" Target="../tables/table27.xml"/><Relationship Id="rId13" Type="http://schemas.openxmlformats.org/officeDocument/2006/relationships/table" Target="../tables/table32.xml"/><Relationship Id="rId3" Type="http://schemas.openxmlformats.org/officeDocument/2006/relationships/table" Target="../tables/table22.xml"/><Relationship Id="rId7" Type="http://schemas.openxmlformats.org/officeDocument/2006/relationships/table" Target="../tables/table26.xml"/><Relationship Id="rId12" Type="http://schemas.openxmlformats.org/officeDocument/2006/relationships/table" Target="../tables/table31.xml"/><Relationship Id="rId2" Type="http://schemas.openxmlformats.org/officeDocument/2006/relationships/table" Target="../tables/table21.xml"/><Relationship Id="rId16" Type="http://schemas.openxmlformats.org/officeDocument/2006/relationships/table" Target="../tables/table35.xml"/><Relationship Id="rId1" Type="http://schemas.openxmlformats.org/officeDocument/2006/relationships/table" Target="../tables/table20.xm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table" Target="../tables/table24.xml"/><Relationship Id="rId15" Type="http://schemas.openxmlformats.org/officeDocument/2006/relationships/table" Target="../tables/table3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 Id="rId14" Type="http://schemas.openxmlformats.org/officeDocument/2006/relationships/table" Target="../tables/table33.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42.xml"/><Relationship Id="rId3" Type="http://schemas.openxmlformats.org/officeDocument/2006/relationships/table" Target="../tables/table37.xml"/><Relationship Id="rId7" Type="http://schemas.openxmlformats.org/officeDocument/2006/relationships/table" Target="../tables/table41.xml"/><Relationship Id="rId2" Type="http://schemas.openxmlformats.org/officeDocument/2006/relationships/table" Target="../tables/table36.xml"/><Relationship Id="rId1" Type="http://schemas.openxmlformats.org/officeDocument/2006/relationships/printerSettings" Target="../printerSettings/printerSettings30.bin"/><Relationship Id="rId6" Type="http://schemas.openxmlformats.org/officeDocument/2006/relationships/table" Target="../tables/table40.xml"/><Relationship Id="rId5" Type="http://schemas.openxmlformats.org/officeDocument/2006/relationships/table" Target="../tables/table39.xml"/><Relationship Id="rId4" Type="http://schemas.openxmlformats.org/officeDocument/2006/relationships/table" Target="../tables/table38.xml"/><Relationship Id="rId9"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47.xml.rels><?xml version="1.0" encoding="UTF-8" standalone="yes"?>
<Relationships xmlns="http://schemas.openxmlformats.org/package/2006/relationships"><Relationship Id="rId8" Type="http://schemas.openxmlformats.org/officeDocument/2006/relationships/table" Target="../tables/table53.xml"/><Relationship Id="rId3" Type="http://schemas.openxmlformats.org/officeDocument/2006/relationships/table" Target="../tables/table48.xml"/><Relationship Id="rId7" Type="http://schemas.openxmlformats.org/officeDocument/2006/relationships/table" Target="../tables/table52.xml"/><Relationship Id="rId12" Type="http://schemas.openxmlformats.org/officeDocument/2006/relationships/table" Target="../tables/table57.xml"/><Relationship Id="rId2" Type="http://schemas.openxmlformats.org/officeDocument/2006/relationships/table" Target="../tables/table47.xml"/><Relationship Id="rId1" Type="http://schemas.openxmlformats.org/officeDocument/2006/relationships/printerSettings" Target="../printerSettings/printerSettings32.bin"/><Relationship Id="rId6" Type="http://schemas.openxmlformats.org/officeDocument/2006/relationships/table" Target="../tables/table51.xml"/><Relationship Id="rId11" Type="http://schemas.openxmlformats.org/officeDocument/2006/relationships/table" Target="../tables/table56.xml"/><Relationship Id="rId5" Type="http://schemas.openxmlformats.org/officeDocument/2006/relationships/table" Target="../tables/table50.xml"/><Relationship Id="rId10" Type="http://schemas.openxmlformats.org/officeDocument/2006/relationships/table" Target="../tables/table55.xml"/><Relationship Id="rId4" Type="http://schemas.openxmlformats.org/officeDocument/2006/relationships/table" Target="../tables/table49.xml"/><Relationship Id="rId9" Type="http://schemas.openxmlformats.org/officeDocument/2006/relationships/table" Target="../tables/table54.xml"/></Relationships>
</file>

<file path=xl/worksheets/_rels/sheet48.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49.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18" Type="http://schemas.openxmlformats.org/officeDocument/2006/relationships/table" Target="../tables/table82.xml"/><Relationship Id="rId26" Type="http://schemas.openxmlformats.org/officeDocument/2006/relationships/table" Target="../tables/table90.xml"/><Relationship Id="rId3" Type="http://schemas.openxmlformats.org/officeDocument/2006/relationships/table" Target="../tables/table67.xml"/><Relationship Id="rId21" Type="http://schemas.openxmlformats.org/officeDocument/2006/relationships/table" Target="../tables/table85.xml"/><Relationship Id="rId7" Type="http://schemas.openxmlformats.org/officeDocument/2006/relationships/table" Target="../tables/table71.xml"/><Relationship Id="rId12" Type="http://schemas.openxmlformats.org/officeDocument/2006/relationships/table" Target="../tables/table76.xml"/><Relationship Id="rId17" Type="http://schemas.openxmlformats.org/officeDocument/2006/relationships/table" Target="../tables/table81.xml"/><Relationship Id="rId25" Type="http://schemas.openxmlformats.org/officeDocument/2006/relationships/table" Target="../tables/table89.xml"/><Relationship Id="rId2" Type="http://schemas.openxmlformats.org/officeDocument/2006/relationships/table" Target="../tables/table66.xml"/><Relationship Id="rId16" Type="http://schemas.openxmlformats.org/officeDocument/2006/relationships/table" Target="../tables/table80.xml"/><Relationship Id="rId20" Type="http://schemas.openxmlformats.org/officeDocument/2006/relationships/table" Target="../tables/table84.xml"/><Relationship Id="rId29" Type="http://schemas.openxmlformats.org/officeDocument/2006/relationships/table" Target="../tables/table93.xml"/><Relationship Id="rId1" Type="http://schemas.openxmlformats.org/officeDocument/2006/relationships/table" Target="../tables/table65.xml"/><Relationship Id="rId6" Type="http://schemas.openxmlformats.org/officeDocument/2006/relationships/table" Target="../tables/table70.xml"/><Relationship Id="rId11" Type="http://schemas.openxmlformats.org/officeDocument/2006/relationships/table" Target="../tables/table75.xml"/><Relationship Id="rId24" Type="http://schemas.openxmlformats.org/officeDocument/2006/relationships/table" Target="../tables/table88.xml"/><Relationship Id="rId5" Type="http://schemas.openxmlformats.org/officeDocument/2006/relationships/table" Target="../tables/table69.xml"/><Relationship Id="rId15" Type="http://schemas.openxmlformats.org/officeDocument/2006/relationships/table" Target="../tables/table79.xml"/><Relationship Id="rId23" Type="http://schemas.openxmlformats.org/officeDocument/2006/relationships/table" Target="../tables/table87.xml"/><Relationship Id="rId28" Type="http://schemas.openxmlformats.org/officeDocument/2006/relationships/table" Target="../tables/table92.xml"/><Relationship Id="rId10" Type="http://schemas.openxmlformats.org/officeDocument/2006/relationships/table" Target="../tables/table74.xml"/><Relationship Id="rId19" Type="http://schemas.openxmlformats.org/officeDocument/2006/relationships/table" Target="../tables/table83.xml"/><Relationship Id="rId31" Type="http://schemas.openxmlformats.org/officeDocument/2006/relationships/table" Target="../tables/table95.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 Id="rId22" Type="http://schemas.openxmlformats.org/officeDocument/2006/relationships/table" Target="../tables/table86.xml"/><Relationship Id="rId27" Type="http://schemas.openxmlformats.org/officeDocument/2006/relationships/table" Target="../tables/table91.xml"/><Relationship Id="rId30" Type="http://schemas.openxmlformats.org/officeDocument/2006/relationships/table" Target="../tables/table94.xml"/></Relationships>
</file>

<file path=xl/worksheets/_rels/sheet50.xml.rels><?xml version="1.0" encoding="UTF-8" standalone="yes"?>
<Relationships xmlns="http://schemas.openxmlformats.org/package/2006/relationships"><Relationship Id="rId8" Type="http://schemas.openxmlformats.org/officeDocument/2006/relationships/table" Target="../tables/table102.xml"/><Relationship Id="rId13" Type="http://schemas.openxmlformats.org/officeDocument/2006/relationships/table" Target="../tables/table107.xml"/><Relationship Id="rId18" Type="http://schemas.openxmlformats.org/officeDocument/2006/relationships/table" Target="../tables/table112.xml"/><Relationship Id="rId3" Type="http://schemas.openxmlformats.org/officeDocument/2006/relationships/table" Target="../tables/table97.xml"/><Relationship Id="rId21" Type="http://schemas.openxmlformats.org/officeDocument/2006/relationships/table" Target="../tables/table115.xml"/><Relationship Id="rId7" Type="http://schemas.openxmlformats.org/officeDocument/2006/relationships/table" Target="../tables/table101.xml"/><Relationship Id="rId12" Type="http://schemas.openxmlformats.org/officeDocument/2006/relationships/table" Target="../tables/table106.xml"/><Relationship Id="rId17" Type="http://schemas.openxmlformats.org/officeDocument/2006/relationships/table" Target="../tables/table111.xml"/><Relationship Id="rId2" Type="http://schemas.openxmlformats.org/officeDocument/2006/relationships/table" Target="../tables/table96.xml"/><Relationship Id="rId16" Type="http://schemas.openxmlformats.org/officeDocument/2006/relationships/table" Target="../tables/table110.xml"/><Relationship Id="rId20" Type="http://schemas.openxmlformats.org/officeDocument/2006/relationships/table" Target="../tables/table114.xml"/><Relationship Id="rId1" Type="http://schemas.openxmlformats.org/officeDocument/2006/relationships/printerSettings" Target="../printerSettings/printerSettings33.bin"/><Relationship Id="rId6" Type="http://schemas.openxmlformats.org/officeDocument/2006/relationships/table" Target="../tables/table100.xml"/><Relationship Id="rId11" Type="http://schemas.openxmlformats.org/officeDocument/2006/relationships/table" Target="../tables/table105.xml"/><Relationship Id="rId5" Type="http://schemas.openxmlformats.org/officeDocument/2006/relationships/table" Target="../tables/table99.xml"/><Relationship Id="rId15" Type="http://schemas.openxmlformats.org/officeDocument/2006/relationships/table" Target="../tables/table109.xml"/><Relationship Id="rId10" Type="http://schemas.openxmlformats.org/officeDocument/2006/relationships/table" Target="../tables/table104.xml"/><Relationship Id="rId19" Type="http://schemas.openxmlformats.org/officeDocument/2006/relationships/table" Target="../tables/table113.xml"/><Relationship Id="rId4" Type="http://schemas.openxmlformats.org/officeDocument/2006/relationships/table" Target="../tables/table98.xml"/><Relationship Id="rId9" Type="http://schemas.openxmlformats.org/officeDocument/2006/relationships/table" Target="../tables/table103.xml"/><Relationship Id="rId14" Type="http://schemas.openxmlformats.org/officeDocument/2006/relationships/table" Target="../tables/table108.xml"/><Relationship Id="rId22" Type="http://schemas.openxmlformats.org/officeDocument/2006/relationships/table" Target="../tables/table116.xml"/></Relationships>
</file>

<file path=xl/worksheets/_rels/sheet52.xml.rels><?xml version="1.0" encoding="UTF-8" standalone="yes"?>
<Relationships xmlns="http://schemas.openxmlformats.org/package/2006/relationships"><Relationship Id="rId3" Type="http://schemas.openxmlformats.org/officeDocument/2006/relationships/table" Target="../tables/table118.xml"/><Relationship Id="rId7" Type="http://schemas.openxmlformats.org/officeDocument/2006/relationships/table" Target="../tables/table122.xml"/><Relationship Id="rId2" Type="http://schemas.openxmlformats.org/officeDocument/2006/relationships/table" Target="../tables/table117.xml"/><Relationship Id="rId1" Type="http://schemas.openxmlformats.org/officeDocument/2006/relationships/printerSettings" Target="../printerSettings/printerSettings34.bin"/><Relationship Id="rId6" Type="http://schemas.openxmlformats.org/officeDocument/2006/relationships/table" Target="../tables/table121.xml"/><Relationship Id="rId5" Type="http://schemas.openxmlformats.org/officeDocument/2006/relationships/table" Target="../tables/table120.xml"/><Relationship Id="rId4" Type="http://schemas.openxmlformats.org/officeDocument/2006/relationships/table" Target="../tables/table119.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1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5"/>
  <sheetViews>
    <sheetView workbookViewId="0" zoomScale="100" zoomScaleNormal="100">
      <pane xSplit="1" topLeftCell="B1" activePane="topRight" state="frozenSplit"/>
      <selection pane="topRight" activeCell="A64" sqref="A64"/>
    </sheetView>
  </sheetViews>
  <sheetFormatPr defaultRowHeight="15" x14ac:dyDescent="0.25"/>
  <cols>
    <col min="1" max="1" width="36.7109375" customWidth="1"/>
  </cols>
  <sheetData>
    <row r="1" spans="1:1" ht="25.5" x14ac:dyDescent="0.35">
      <c r="A1" s="10" t="e" vm="1">
        <v>#VALUE!</v>
      </c>
    </row>
    <row r="3" spans="1:1" ht="15.75" x14ac:dyDescent="0.25">
      <c r="A3" s="27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5"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Data quality'!A1", "Data quality")</f>
        <v>Data quality</v>
      </c>
    </row>
    <row r="29" spans="1:1" x14ac:dyDescent="0.25">
      <c r="A29" s="6" t="s">
        <v>2</v>
      </c>
    </row>
    <row r="30" spans="1:1" ht="15.75" x14ac:dyDescent="0.25">
      <c r="A30" s="5" t="str">
        <f>HYPERLINK("#'3.3.1.1-2 Enteric Methane'!A1", "3.3.1.1-2 Enteric methane")</f>
        <v>3.3.1.1-2 Enteric methane</v>
      </c>
    </row>
    <row r="31" spans="1:1" ht="15.75" x14ac:dyDescent="0.25">
      <c r="A31" s="5" t="str">
        <f>HYPERLINK("#'4.3.1.1-2 Methane'!A1", "4.3.1.1-2 Manure methane")</f>
        <v>4.3.1.1-2 Manure methane</v>
      </c>
    </row>
    <row r="32" spans="1:1" ht="15.75" x14ac:dyDescent="0.25">
      <c r="A32" s="5" t="str">
        <f>HYPERLINK("#'4.3.1.3-4 Direct N20'!A1", "4.3.1.3-4 Direct N20")</f>
        <v>4.3.1.3-4 Direct N20</v>
      </c>
    </row>
    <row r="33" spans="1:1" ht="15.75" x14ac:dyDescent="0.25">
      <c r="A33" s="5" t="str">
        <f>HYPERLINK("#'4.3.1.5 Atmos deposition'!A1", "4.3.1.5 Atmos deposition")</f>
        <v>4.3.1.5 Atmos deposition</v>
      </c>
    </row>
    <row r="34" spans="1:1" ht="15.75" x14ac:dyDescent="0.25">
      <c r="A34" s="5" t="str">
        <f>HYPERLINK("#'4.3.1.6-7 Leaching and runoff'!A1", "4.3.1.6-7 Leaching &amp; runoff")</f>
        <v>4.3.1.6-7 Leaching &amp; runoff</v>
      </c>
    </row>
    <row r="35" spans="1:1" ht="15.75" x14ac:dyDescent="0.25">
      <c r="A35" s="5" t="str">
        <f>HYPERLINK("#'4.3.1.8 Manure applied to soils'!A1", "4.3.1.8 Manure applied to soils")</f>
        <v>4.3.1.8 Manure applied to soils</v>
      </c>
    </row>
    <row r="36" spans="1:1" ht="15.75" x14ac:dyDescent="0.25">
      <c r="A36" s="5" t="str">
        <f>HYPERLINK("#'4.3.1.9 Soil direct N2O'!A1", "4.3.1.9 Soil direct N2O")</f>
        <v>4.3.1.9 Soil direct N2O</v>
      </c>
    </row>
    <row r="37" spans="1:1" ht="15.75" x14ac:dyDescent="0.25">
      <c r="A37" s="5" t="str">
        <f>HYPERLINK("#'4.3.1.10-11 Soil Atmos Dep'!A1", "4.3.1.10-11 Soil Atmos Deposition")</f>
        <v>4.3.1.10-11 Soil Atmos Deposition</v>
      </c>
    </row>
    <row r="38" spans="1:1" ht="15.75" x14ac:dyDescent="0.25">
      <c r="A38" s="5" t="str">
        <f>HYPERLINK("#'4.3.1.12-13 Soil leach runoff'!A1", "4.3.1.12-13 Soil leach &amp; runoff")</f>
        <v>4.3.1.12-13 Soil leach &amp; runoff</v>
      </c>
    </row>
    <row r="39" spans="1:1" ht="15.75" x14ac:dyDescent="0.25">
      <c r="A39" s="5" t="str">
        <f>HYPERLINK("#'5.1.1.1-2 Inorganic fert N2O'!A1", "5.1.1.1-2 Inorganic fert N2O")</f>
        <v>5.1.1.1-2 Inorganic fert N2O</v>
      </c>
    </row>
    <row r="40" spans="1:1" ht="15.75" x14ac:dyDescent="0.25">
      <c r="A40" s="5" t="str">
        <f>HYPERLINK("#'5.1.1.3-4 Inorganic fert CO2'!A1", "5.1.1.3-4 Inorganic fert CO2")</f>
        <v>5.1.1.3-4 Inorganic fert CO2</v>
      </c>
    </row>
    <row r="41" spans="1:1" ht="15.75" x14ac:dyDescent="0.25">
      <c r="A41" s="5" t="str">
        <f>HYPERLINK("#'5.2.1.1-2 Organic Fert N2O'!A1", "5.2.1.1-2 Organic fert N2O")</f>
        <v>5.2.1.1-2 Organic fert N2O</v>
      </c>
    </row>
    <row r="42" spans="1:1" ht="15.75" x14ac:dyDescent="0.25">
      <c r="A42" s="5" t="str">
        <f>HYPERLINK("#'5.3.1.1-2 Lime CO2'!A1", "5.3.1.1-2 Lime CO2")</f>
        <v>5.3.1.1-2 Lime CO2</v>
      </c>
    </row>
    <row r="43" spans="1:1" ht="15.75" x14ac:dyDescent="0.25">
      <c r="A43" s="5" t="str">
        <f>HYPERLINK("#'5.4.1.1-4 Atmos deposition'!A1", "5.4.1.1-4 Atmos. deposition")</f>
        <v>5.4.1.1-4 Atmos. deposition</v>
      </c>
    </row>
    <row r="44" spans="1:1" ht="15.75" x14ac:dyDescent="0.25">
      <c r="A44" s="5" t="str">
        <f>HYPERLINK("#'5.5.1.1-2 Leaching and runoff'!A1", "5.5.1.1-2 Leaching &amp; runoff")</f>
        <v>5.5.1.1-2 Leaching &amp; runoff</v>
      </c>
    </row>
    <row r="45" spans="1:1" ht="15.75" x14ac:dyDescent="0.25">
      <c r="A45" s="5" t="str">
        <f>HYPERLINK("#'6.2.1.1-2 Pasture residue N2O'!A1", "6.2.1.1-2 Pasture residue N2O")</f>
        <v>6.2.1.1-2 Pasture residue N2O</v>
      </c>
    </row>
    <row r="46" spans="1:1" ht="15.75" x14ac:dyDescent="0.25">
      <c r="A46" s="5" t="str">
        <f>HYPERLINK("#'6.3.1.1-2 Leach runoff pasture'!A1", "6.3.1.1-2 Leach &amp; runoff (pasture)")</f>
        <v>6.3.1.1-2 Leach &amp; runoff (pasture)</v>
      </c>
    </row>
    <row r="47" spans="1:1" ht="15.75" x14ac:dyDescent="0.25">
      <c r="A47" s="5" t="str">
        <f>HYPERLINK("#'8.1.1.1-2 Transport fuel'!A1", "8.1.1.1-2 Transport fuel")</f>
        <v>8.1.1.1-2 Transport fuel</v>
      </c>
    </row>
    <row r="48" spans="1:1" ht="15.75" x14ac:dyDescent="0.25">
      <c r="A48" s="5" t="str">
        <f>HYPERLINK("#'8.2.1.1-2 Stationary fuel'!A1", "8.2.1.1-2 Stationary fuel")</f>
        <v>8.2.1.1-2 Stationary fuel</v>
      </c>
    </row>
    <row r="49" spans="1:1" ht="15.75" x14ac:dyDescent="0.25">
      <c r="A49" s="5" t="str">
        <f>HYPERLINK("#'10.1.1-2 Solid waste treatment'!A1", "10.1.1.1-2 Solid waste")</f>
        <v>10.1.1.1-2 Solid waste</v>
      </c>
    </row>
    <row r="50" spans="1:1" ht="15.75" x14ac:dyDescent="0.25">
      <c r="A50" s="5" t="str">
        <f>HYPERLINK("#'14.1.1-2 Purchased electricity'!A1", "14.1.1-2 Purchased electricity")</f>
        <v>14.1.1-2 Purchased electricity</v>
      </c>
    </row>
    <row r="51" spans="1:1" ht="15.75" x14ac:dyDescent="0.25">
      <c r="A51" s="5" t="str">
        <f>HYPERLINK("#'15 Scope 3'!A1", "15 Scope 3")</f>
        <v>15 Scope 3</v>
      </c>
    </row>
    <row r="52" spans="1:1" ht="15.75" x14ac:dyDescent="0.25">
      <c r="A52" s="5" t="str">
        <f>HYPERLINK("#'Calcs - Manure sent off-site'!A1", "Calcs - Manure sent off-site")</f>
        <v>Calcs - Manure sent off-site</v>
      </c>
    </row>
    <row r="55" spans="1:1" x14ac:dyDescent="0.25">
      <c r="A55" s="83" t="s">
        <v>1</v>
      </c>
    </row>
    <row r="56" spans="1:1" ht="15.75" x14ac:dyDescent="0.25">
      <c r="A56" s="5" t="str">
        <f>HYPERLINK("#'Constants - Dairy'!A1", "Constants - Dairy")</f>
        <v>Constants - Dairy</v>
      </c>
    </row>
    <row r="57" spans="1:1" ht="15.75" x14ac:dyDescent="0.25">
      <c r="A57" s="5" t="str">
        <f>HYPERLINK("#'Constants - Ag Residue'!A1", "Constants - Ag residue")</f>
        <v>Constants - Ag residue</v>
      </c>
    </row>
    <row r="58" spans="1:1" ht="15.75" x14ac:dyDescent="0.25">
      <c r="A58" s="5" t="str">
        <f>HYPERLINK("#'Constants - Common Livestock'!A1", "Constants - Common Livestock")</f>
        <v>Constants - Common Livestock</v>
      </c>
    </row>
    <row r="59" spans="1:1" ht="15.75" x14ac:dyDescent="0.25">
      <c r="A59" s="5" t="str">
        <f>HYPERLINK("#'Constants - Electricity'!A1", "Constants - Electricity")</f>
        <v>Constants - Electricity</v>
      </c>
    </row>
    <row r="60" spans="1:1" ht="15.75" x14ac:dyDescent="0.25">
      <c r="A60" s="5" t="str">
        <f>HYPERLINK("#'Constants - Fertiliser'!A1", "Constants - Fertiliser")</f>
        <v>Constants - Fertiliser</v>
      </c>
    </row>
    <row r="61" spans="1:1" ht="15.75" x14ac:dyDescent="0.25">
      <c r="A61" s="5" t="str">
        <f>HYPERLINK("#'Constants - Fuel'!A1", "Constants - Fuel")</f>
        <v>Constants - Fuel</v>
      </c>
    </row>
    <row r="62" spans="1:1" ht="15.75" x14ac:dyDescent="0.25">
      <c r="A62" s="5" t="str">
        <f>HYPERLINK("#'Constants - Scope 3'!A1", "Constants - Scope 3")</f>
        <v>Constants - Scope 3</v>
      </c>
    </row>
    <row r="63" spans="1:1" ht="15.75" x14ac:dyDescent="0.25">
      <c r="A63" s="5" t="str">
        <f>HYPERLINK("#'Constants - Common'!A1", "Constants - Common")</f>
        <v>Constants - Common</v>
      </c>
    </row>
    <row r="64" spans="1:1" ht="15.75" x14ac:dyDescent="0.25">
      <c r="A64" s="5" t="str">
        <f>HYPERLINK("#'Constants - Solid Waste'!A1", "Constants - Solid Waste")</f>
        <v>Constants - Solid Waste</v>
      </c>
    </row>
    <row r="65" spans="1:1" ht="15.75" x14ac:dyDescent="0.25">
      <c r="A65"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7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ht="30" customHeight="1" x14ac:dyDescent="0.35">
      <c r="A1" s="10" t="e" vm="1">
        <v>#VALUE!</v>
      </c>
      <c r="C1" s="85" t="s">
        <v>245</v>
      </c>
      <c r="D1" s="85"/>
      <c r="E1" s="85"/>
      <c r="F1" s="85"/>
      <c r="G1" s="85"/>
      <c r="H1" s="85"/>
      <c r="I1" s="85"/>
      <c r="J1" s="85"/>
      <c r="K1" s="85"/>
    </row>
    <row r="2" spans="1:11" s="3" customFormat="1" ht="20.100000000000001" customHeight="1" x14ac:dyDescent="0.25">
      <c r="A2"/>
    </row>
    <row r="3" spans="1:11" ht="20.100000000000001" customHeight="1" x14ac:dyDescent="0.25">
      <c r="A3" s="5" t="str">
        <f>HYPERLINK("#'Home'!A1", "Home")</f>
        <v>Home</v>
      </c>
      <c r="C3" s="11"/>
      <c r="D3" s="11"/>
      <c r="E3" s="11"/>
      <c r="F3" s="11"/>
      <c r="G3" s="11"/>
      <c r="H3" s="11"/>
      <c r="I3" s="11"/>
      <c r="J3" s="11"/>
      <c r="K3" s="11"/>
    </row>
    <row r="4" spans="1:11" ht="20.100000000000001" customHeight="1" x14ac:dyDescent="0.25">
      <c r="A4" s="27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f>"Emissions breakdown for activities running between " &amp; TEXT(X_Cell_Site_StartDate, "dd mmmm yyyy") &amp; " and " &amp; TEXT('Input - Enterprise'!E13, "dd mmmm yyyy")</f>
        <v>Emissions breakdown for activities running between 01 January 2024 and 31 December 2024</v>
      </c>
    </row>
    <row r="6" spans="1:11" ht="20.100000000000001" customHeight="1" x14ac:dyDescent="0.25">
      <c r="A6" s="5" t="str">
        <f>HYPERLINK("#'Results'!A1", "Results")</f>
        <v>Results</v>
      </c>
    </row>
    <row r="7" spans="1:11" ht="20.100000000000001" customHeight="1" x14ac:dyDescent="0.25">
      <c r="D7" s="78" t="s">
        <v>246</v>
      </c>
    </row>
    <row r="8" spans="1:11" ht="20.100000000000001" customHeight="1" x14ac:dyDescent="0.25"/>
    <row r="9" spans="1:11" ht="20.100000000000001" customHeight="1" x14ac:dyDescent="0.25">
      <c r="A9" s="7" t="s">
        <v>0</v>
      </c>
      <c r="D9" s="11" t="s">
        <v>3</v>
      </c>
      <c r="E9" s="11" t="s">
        <v>7</v>
      </c>
      <c r="F9" s="11" t="s">
        <v>8</v>
      </c>
      <c r="G9" s="11" t="s">
        <v>4</v>
      </c>
      <c r="H9" s="11" t="s">
        <v>9</v>
      </c>
      <c r="I9" s="11" t="s">
        <v>10</v>
      </c>
      <c r="J9" s="11"/>
    </row>
    <row r="10" spans="1:11" ht="20.100000000000001" customHeight="1" x14ac:dyDescent="0.25">
      <c r="A10" s="5" t="str">
        <f>HYPERLINK("#'Input - Enterprise'!A1", "Enterprise")</f>
        <v>Enterprise</v>
      </c>
      <c r="D10" s="1" t="s">
        <v>166</v>
      </c>
      <c r="E10" s="1" cm="1">
        <f t="array" ref="E10">VEERG_3_3_1_1__1_TotalAnnualMethaneFromEntericFermentationVariation_Result_Method1</f>
        <v>32.464682683989999</v>
      </c>
      <c r="F10" s="1" cm="1">
        <f t="array" ref="F10">VEERG_3_3_1_1__1_TotalAnnualMethaneFromEntericFermentationVariation_Result_Method2</f>
        <v>32.464682683989999</v>
      </c>
      <c r="G10" s="1" t="s">
        <v>5</v>
      </c>
      <c r="H10" s="1" cm="1">
        <f t="array" ref="H10">Common_Equations.Common_ConvertCH4ToCO2e(E10,_xlfn.XLOOKUP("CH4", Table_GWPData[Gas],Table_GWPData[CO2-e factor]))</f>
        <v>909.01111515171999</v>
      </c>
      <c r="I10" s="1" cm="1">
        <f t="array" ref="I10">Common_Equations.Common_ConvertCH4ToCO2e(F10,_xlfn.XLOOKUP("CH4", Table_GWPData[Gas],Table_GWPData[CO2-e factor]))</f>
        <v>909.01111515171999</v>
      </c>
      <c r="J10" s="9" t="s">
        <v>6</v>
      </c>
    </row>
    <row r="11" spans="1:11" ht="20.100000000000001" customHeight="1" x14ac:dyDescent="0.25">
      <c r="A11" s="5" t="str">
        <f>HYPERLINK("#'Input - Site'!A1", "Site")</f>
        <v>Site</v>
      </c>
      <c r="D11" s="1" t="s">
        <v>167</v>
      </c>
      <c r="E11" s="1" t="e" cm="1">
        <f t="array" aca="1" ref="E11" ca="1">VEERG_4_3_1_1__1_TotalAnnualMethaneFromManureManagement_Result_Method1</f>
        <v>#N/A</v>
      </c>
      <c r="F11" s="1" t="e" cm="1">
        <f t="array" aca="1" ref="F11" ca="1">VEERG_4_3_1_1__1_TotalAnnualMethaneFromManureManagement_Result_Method2</f>
        <v>#N/A</v>
      </c>
      <c r="G11" s="1" t="s">
        <v>5</v>
      </c>
      <c r="H11" s="1" t="e" cm="1">
        <f t="array" aca="1" ref="H11" ca="1">Common_Equations.Common_ConvertCH4ToCO2e(E11,_xlfn.XLOOKUP("CH4", Table_GWPData[Gas],Table_GWPData[CO2-e factor]))</f>
        <v>#N/A</v>
      </c>
      <c r="I11" s="1" t="e" cm="1">
        <f t="array" aca="1" ref="I11" ca="1">Common_Equations.Common_ConvertCH4ToCO2e(F11,_xlfn.XLOOKUP("CH4", Table_GWPData[Gas],Table_GWPData[CO2-e factor]))</f>
        <v>#N/A</v>
      </c>
      <c r="J11" s="9" t="s">
        <v>6</v>
      </c>
    </row>
    <row r="12" spans="1:11" ht="20.100000000000001" customHeight="1" x14ac:dyDescent="0.25">
      <c r="A12" s="5" t="str">
        <f>HYPERLINK("#'Input - Dairy'!A1", "Dairy")</f>
        <v>Dairy</v>
      </c>
      <c r="D12" s="1" t="s">
        <v>168</v>
      </c>
      <c r="E12" s="1" cm="1">
        <f t="array" ref="E12">VEERG_4_3_1_3__1_TotalAnnualDirectNitrousOxideEmissionsFromMMS_Result_Method1</f>
        <v>5.8975625860183567E-2</v>
      </c>
      <c r="F12" s="1" cm="1">
        <f t="array" ref="F12">VEERG_4_3_1_3__1_TotalAnnualDirectNitrousOxideEmissionsFromMMS_Result_Method2</f>
        <v>5.8975625860183567E-2</v>
      </c>
      <c r="G12" s="1" t="s">
        <v>11</v>
      </c>
      <c r="H12" s="1" cm="1">
        <f t="array" ref="H12">Common_Equations.Common_ConvertN2OToCO2e(E12,_xlfn.XLOOKUP("N2O", Table_GWPData[Gas],Table_GWPData[CO2-e factor]))</f>
        <v>15.628540852948646</v>
      </c>
      <c r="I12" s="1" cm="1">
        <f t="array" ref="I12">Common_Equations.Common_ConvertN2OToCO2e(F12,_xlfn.XLOOKUP("N2O", Table_GWPData[Gas],Table_GWPData[CO2-e factor]))</f>
        <v>15.628540852948646</v>
      </c>
      <c r="J12" s="9" t="s">
        <v>6</v>
      </c>
    </row>
    <row r="13" spans="1:11" ht="20.100000000000001" customHeight="1" x14ac:dyDescent="0.25">
      <c r="A13" s="5" t="str">
        <f>HYPERLINK("#'Input - Livestock sales'!A1", "Livestock sales")</f>
        <v>Livestock sales</v>
      </c>
      <c r="D13" s="1" t="s">
        <v>169</v>
      </c>
      <c r="E13" s="1" cm="1">
        <f t="array" ref="E13">VEERG_4_3_1_5__1_AnnualAtmosphericDepositionEmissionsFromMMS_Result_Method1</f>
        <v>4.7299753181434263E-2</v>
      </c>
      <c r="F13" s="1" cm="1">
        <f t="array" ref="F13">VEERG_4_3_1_5__1_AnnualAtmosphericDepositionEmissionsFromMMS_Result_Method2</f>
        <v>4.7299753181434263E-2</v>
      </c>
      <c r="G13" s="1" t="s">
        <v>11</v>
      </c>
      <c r="H13" s="1" cm="1">
        <f t="array" ref="H13">Common_Equations.Common_ConvertN2OToCO2e(E13,_xlfn.XLOOKUP("N2O", Table_GWPData[Gas],Table_GWPData[CO2-e factor]))</f>
        <v>12.53443459308008</v>
      </c>
      <c r="I13" s="1" cm="1">
        <f t="array" ref="I13">Common_Equations.Common_ConvertN2OToCO2e(F13,_xlfn.XLOOKUP("N2O", Table_GWPData[Gas],Table_GWPData[CO2-e factor]))</f>
        <v>12.53443459308008</v>
      </c>
      <c r="J13" s="9" t="s">
        <v>6</v>
      </c>
    </row>
    <row r="14" spans="1:11" ht="20.100000000000001" customHeight="1" x14ac:dyDescent="0.25">
      <c r="A14" s="5" t="str">
        <f>HYPERLINK("#'Input - Dairy cattle purchases'!A1", "Dairy cattle purchases")</f>
        <v>Dairy cattle purchases</v>
      </c>
      <c r="D14" s="1" t="s">
        <v>170</v>
      </c>
      <c r="E14" s="1" cm="1">
        <f t="array" ref="E14">VEERG_4_3_1_6__1_AnnualEmissionsFromLeachingAndRunoffFromMMS_Result_Method1</f>
        <v>2.5949275378480772E-3</v>
      </c>
      <c r="F14" s="1" cm="1">
        <f t="array" ref="F14">VEERG_4_3_1_6__1_AnnualEmissionsFromLeachingAndRunoffFromMMS_Result_Method2</f>
        <v>2.5949275378480772E-3</v>
      </c>
      <c r="G14" s="1" t="s">
        <v>11</v>
      </c>
      <c r="H14" s="1" cm="1">
        <f t="array" ref="H14">Common_Equations.Common_ConvertN2OToCO2e(E14,_xlfn.XLOOKUP("N2O", Table_GWPData[Gas],Table_GWPData[CO2-e factor]))</f>
        <v>0.68765579752974049</v>
      </c>
      <c r="I14" s="1" cm="1">
        <f t="array" ref="I14">Common_Equations.Common_ConvertN2OToCO2e(F14,_xlfn.XLOOKUP("N2O", Table_GWPData[Gas],Table_GWPData[CO2-e factor]))</f>
        <v>0.68765579752974049</v>
      </c>
      <c r="J14" s="9" t="s">
        <v>6</v>
      </c>
    </row>
    <row r="15" spans="1:11" ht="20.100000000000001" customHeight="1" x14ac:dyDescent="0.25">
      <c r="A15" s="5" t="str">
        <f>HYPERLINK("#'Input - Pasture'!A1", "Pasture")</f>
        <v>Pasture</v>
      </c>
      <c r="D15" s="1" t="s">
        <v>171</v>
      </c>
      <c r="E15" s="1" t="e" cm="1">
        <f t="array" ref="E15">VEERG_4_3_1_9__1_DirectNitrousOxideEmissionsOnPasture_Result_Method1</f>
        <v>#VALUE!</v>
      </c>
      <c r="F15" s="1" t="e" cm="1">
        <f t="array" ref="F15">VEERG_4_3_1_9__1_DirectNitrousOxideEmissionsOnPasture_Result_Method2</f>
        <v>#VALUE!</v>
      </c>
      <c r="G15" s="1" t="s">
        <v>11</v>
      </c>
      <c r="H15" s="1" t="e" cm="1">
        <f t="array" ref="H15">Common_Equations.Common_ConvertN2OToCO2e(E15,_xlfn.XLOOKUP("N2O", Table_GWPData[Gas],Table_GWPData[CO2-e factor]))</f>
        <v>#VALUE!</v>
      </c>
      <c r="I15" s="1" t="e" cm="1">
        <f t="array" ref="I15">Common_Equations.Common_ConvertN2OToCO2e(F15,_xlfn.XLOOKUP("N2O", Table_GWPData[Gas],Table_GWPData[CO2-e factor]))</f>
        <v>#VALUE!</v>
      </c>
      <c r="J15" s="9" t="s">
        <v>6</v>
      </c>
    </row>
    <row r="16" spans="1:11" ht="20.100000000000001" customHeight="1" x14ac:dyDescent="0.25">
      <c r="A16" s="5" t="str">
        <f>HYPERLINK("#'Input - Fert Prod System'!A1", "Fert Prod System")</f>
        <v>Fert Prod System</v>
      </c>
      <c r="D16" s="1" t="s">
        <v>172</v>
      </c>
      <c r="E16" s="1" cm="1">
        <f t="array" ref="E16">VEERG_4_3_1_10__1_AtmosphericDepositionEmissionsFromUrineAndDungOnPasture_Result_Method1</f>
        <v>4.6286841560343794E-2</v>
      </c>
      <c r="F16" s="1" cm="1">
        <f t="array" ref="F16">VEERG_4_3_1_10__1_AtmosphericDepositionEmissionsFromUrineAndDungOnPasture_Result_Method2</f>
        <v>4.6286841560343794E-2</v>
      </c>
      <c r="G16" s="1" t="s">
        <v>11</v>
      </c>
      <c r="H16" s="1" cm="1">
        <f t="array" ref="H16">Common_Equations.Common_ConvertN2OToCO2e(E16,_xlfn.XLOOKUP("N2O", Table_GWPData[Gas],Table_GWPData[CO2-e factor]))</f>
        <v>12.266013013491106</v>
      </c>
      <c r="I16" s="1" cm="1">
        <f t="array" ref="I16">Common_Equations.Common_ConvertN2OToCO2e(F16,_xlfn.XLOOKUP("N2O", Table_GWPData[Gas],Table_GWPData[CO2-e factor]))</f>
        <v>12.266013013491106</v>
      </c>
      <c r="J16" s="9" t="s">
        <v>6</v>
      </c>
    </row>
    <row r="17" spans="1:10" ht="20.100000000000001" customHeight="1" x14ac:dyDescent="0.25">
      <c r="A17" s="5" t="str">
        <f>HYPERLINK("#'Input - Fertiliser'!A1", "Fertiliser")</f>
        <v>Fertiliser</v>
      </c>
      <c r="D17" s="1" t="s">
        <v>173</v>
      </c>
      <c r="E17" s="1" cm="1">
        <f t="array" ref="E17">VEERG_4_3_1_12__1_LeachingAndRunoffEmissionsFromUrineAndDungOnPasture_Result_Method1</f>
        <v>9.8625715673371778E-2</v>
      </c>
      <c r="F17" s="1" cm="1">
        <f t="array" ref="F17">VEERG_4_3_1_12__1_LeachingAndRunoffEmissionsFromUrineAndDungOnPasture_Result_Method2</f>
        <v>9.8625715673371778E-2</v>
      </c>
      <c r="G17" s="1" t="s">
        <v>11</v>
      </c>
      <c r="H17" s="1" cm="1">
        <f t="array" ref="H17">Common_Equations.Common_ConvertN2OToCO2e(E17,_xlfn.XLOOKUP("N2O", Table_GWPData[Gas],Table_GWPData[CO2-e factor]))</f>
        <v>26.135814653443521</v>
      </c>
      <c r="I17" s="1" cm="1">
        <f t="array" ref="I17">Common_Equations.Common_ConvertN2OToCO2e(F17,_xlfn.XLOOKUP("N2O", Table_GWPData[Gas],Table_GWPData[CO2-e factor]))</f>
        <v>26.135814653443521</v>
      </c>
      <c r="J17" s="9" t="s">
        <v>6</v>
      </c>
    </row>
    <row r="18" spans="1:10" ht="20.100000000000001" customHeight="1" x14ac:dyDescent="0.25">
      <c r="A18" s="5" t="str">
        <f>HYPERLINK("#'Input - Fuel'!A1", "Fuel")</f>
        <v>Fuel</v>
      </c>
      <c r="D18" s="1" t="s">
        <v>132</v>
      </c>
      <c r="E18" s="1" t="e" cm="1">
        <f t="array" ref="E18">VEERG_5_1_1_1__1_InorganicFertiliserApplicationN2OEmissions_Result_Method1</f>
        <v>#N/A</v>
      </c>
      <c r="F18" s="1" t="e" cm="1">
        <f t="array" ref="F18">VEERG_5_1_1_1__1_InorganicFertiliserApplicationN2OEmissions_Result_Method2</f>
        <v>#VALUE!</v>
      </c>
      <c r="G18" s="1" t="s">
        <v>11</v>
      </c>
      <c r="H18" s="1" t="e" cm="1">
        <f t="array" ref="H18">Common_Equations.Common_ConvertN2OToCO2e(E18,_xlfn.XLOOKUP("N2O", Table_GWPData[Gas],Table_GWPData[CO2-e factor]))</f>
        <v>#N/A</v>
      </c>
      <c r="I18" s="1" t="e" cm="1">
        <f t="array" ref="I18">Common_Equations.Common_ConvertN2OToCO2e(F18,_xlfn.XLOOKUP("N2O", Table_GWPData[Gas],Table_GWPData[CO2-e factor]))</f>
        <v>#VALUE!</v>
      </c>
      <c r="J18" s="9" t="s">
        <v>6</v>
      </c>
    </row>
    <row r="19" spans="1:10" ht="20.100000000000001" customHeight="1" x14ac:dyDescent="0.25">
      <c r="A19" s="5" t="str">
        <f>HYPERLINK("#'Input - Electricity'!A1", "Electricity")</f>
        <v>Electricity</v>
      </c>
      <c r="D19" s="1" t="s">
        <v>133</v>
      </c>
      <c r="E19" s="1" cm="1">
        <f t="array" ref="E19">VEERG_5_1_1_3__1_InorganicFertiliserApplicationCO2Emissions_Result_Method1</f>
        <v>0</v>
      </c>
      <c r="F19" s="1">
        <f>E19</f>
        <v>0</v>
      </c>
      <c r="G19" s="1" t="s">
        <v>126</v>
      </c>
      <c r="H19" s="1">
        <f>E19</f>
        <v>0</v>
      </c>
      <c r="I19" s="1">
        <f>F19</f>
        <v>0</v>
      </c>
      <c r="J19" s="9" t="s">
        <v>6</v>
      </c>
    </row>
    <row r="20" spans="1:10" ht="20.100000000000001" customHeight="1" x14ac:dyDescent="0.25">
      <c r="A20" s="5" t="str">
        <f>HYPERLINK("#'Input - Common farm inputs'!A1", "Common farm inputs")</f>
        <v>Common farm inputs</v>
      </c>
      <c r="D20" s="1" t="s">
        <v>134</v>
      </c>
      <c r="E20" s="1" t="e" cm="1">
        <f t="array" ref="E20">VEERG_5_2_1_1__2_MassOfNitrogenInOrganicFertiliser_Result_Method1</f>
        <v>#VALUE!</v>
      </c>
      <c r="F20" s="1" t="e">
        <f>E20</f>
        <v>#VALUE!</v>
      </c>
      <c r="G20" s="1" t="s">
        <v>11</v>
      </c>
      <c r="H20" s="1" t="e" cm="1">
        <f t="array" ref="H20">Common_Equations.Common_ConvertN2OToCO2e(E20,_xlfn.XLOOKUP("N2O", Table_GWPData[Gas],Table_GWPData[CO2-e factor]))</f>
        <v>#VALUE!</v>
      </c>
      <c r="I20" s="1" t="e" cm="1">
        <f t="array" ref="I20">Common_Equations.Common_ConvertN2OToCO2e(F20,_xlfn.XLOOKUP("N2O", Table_GWPData[Gas],Table_GWPData[CO2-e factor]))</f>
        <v>#VALUE!</v>
      </c>
      <c r="J20" s="9" t="s">
        <v>6</v>
      </c>
    </row>
    <row r="21" spans="1:10" ht="20.100000000000001" customHeight="1" x14ac:dyDescent="0.25">
      <c r="A21" s="5" t="str">
        <f>HYPERLINK("#'Input - Crop pasture farm input'!A1", "Crop pasture farm input")</f>
        <v>Crop pasture farm input</v>
      </c>
      <c r="D21" s="1" t="s">
        <v>135</v>
      </c>
      <c r="E21" s="1" cm="1">
        <f t="array" ref="E21">VEERG_5_3_1_1__1_LimeApplicationCO2Emissions_Result_Method1</f>
        <v>0</v>
      </c>
      <c r="F21" s="1">
        <f>E21</f>
        <v>0</v>
      </c>
      <c r="G21" s="1" t="s">
        <v>126</v>
      </c>
      <c r="H21" s="1">
        <f>E21</f>
        <v>0</v>
      </c>
      <c r="I21" s="1">
        <f>F21</f>
        <v>0</v>
      </c>
      <c r="J21" s="9" t="s">
        <v>6</v>
      </c>
    </row>
    <row r="22" spans="1:10" ht="20.100000000000001" customHeight="1" x14ac:dyDescent="0.25">
      <c r="A22" s="5" t="str">
        <f>HYPERLINK("#'Input - Livestock farm Inputs'!A1", "Livestock farm Inputs")</f>
        <v>Livestock farm Inputs</v>
      </c>
      <c r="D22" s="1" t="s">
        <v>136</v>
      </c>
      <c r="E22" s="1" t="e" cm="1">
        <f t="array" ref="E22">VEERG_5_4_1_3__1_OrganicFertiliserAtmosphericDepositionN2OEmissions_Result_Method1</f>
        <v>#VALUE!</v>
      </c>
      <c r="F22" s="1" t="e">
        <f>E22</f>
        <v>#VALUE!</v>
      </c>
      <c r="G22" s="1" t="s">
        <v>11</v>
      </c>
      <c r="H22" s="1" t="e" cm="1">
        <f t="array" ref="H22">Common_Equations.Common_ConvertN2OToCO2e(E22,_xlfn.XLOOKUP("N2O", Table_GWPData[Gas],Table_GWPData[CO2-e factor]))</f>
        <v>#VALUE!</v>
      </c>
      <c r="I22" s="1" t="e" cm="1">
        <f t="array" ref="I22">Common_Equations.Common_ConvertN2OToCO2e(F22,_xlfn.XLOOKUP("N2O", Table_GWPData[Gas],Table_GWPData[CO2-e factor]))</f>
        <v>#VALUE!</v>
      </c>
      <c r="J22" s="9" t="s">
        <v>6</v>
      </c>
    </row>
    <row r="23" spans="1:10" ht="20.100000000000001" customHeight="1" x14ac:dyDescent="0.25">
      <c r="A23" s="5" t="str">
        <f>HYPERLINK("#'Input - Freight'!A1", "Freight")</f>
        <v>Freight</v>
      </c>
      <c r="D23" s="1" t="s">
        <v>137</v>
      </c>
      <c r="E23" s="1" t="e" cm="1">
        <f t="array" ref="E23">VEERG_5_5_1_1__1_FertiliserLeachingAndRunoffN2OEmissions_result_Method1</f>
        <v>#VALUE!</v>
      </c>
      <c r="F23" s="1" t="e">
        <f>E23</f>
        <v>#VALUE!</v>
      </c>
      <c r="G23" s="1" t="s">
        <v>11</v>
      </c>
      <c r="H23" s="1" t="e" cm="1">
        <f t="array" ref="H23">Common_Equations.Common_ConvertN2OToCO2e(E23,_xlfn.XLOOKUP("N2O", Table_GWPData[Gas],Table_GWPData[CO2-e factor]))</f>
        <v>#VALUE!</v>
      </c>
      <c r="I23" s="1" t="e" cm="1">
        <f t="array" ref="I23">Common_Equations.Common_ConvertN2OToCO2e(F23,_xlfn.XLOOKUP("N2O", Table_GWPData[Gas],Table_GWPData[CO2-e factor]))</f>
        <v>#VALUE!</v>
      </c>
      <c r="J23" s="9" t="s">
        <v>6</v>
      </c>
    </row>
    <row r="24" spans="1:10" ht="20.100000000000001" customHeight="1" x14ac:dyDescent="0.25">
      <c r="A24" s="5" t="str">
        <f>HYPERLINK("#'Input - Solid waste'!A1", "Solid waste")</f>
        <v>Solid waste</v>
      </c>
      <c r="D24" s="1" t="s">
        <v>138</v>
      </c>
      <c r="E24" s="1" cm="1">
        <f t="array" ref="E24">VEERG_6_2_1_1__1__NitrousOxideEmissionsFromPastureResidues_Result_Method1</f>
        <v>0</v>
      </c>
      <c r="F24" s="1" cm="1">
        <f t="array" ref="F24">VEERG_6_2_1_1__1__NitrousOxideEmissionsFromPastureResidues_Result_Method2</f>
        <v>0</v>
      </c>
      <c r="G24" s="1" t="s">
        <v>11</v>
      </c>
      <c r="H24" s="1" cm="1">
        <f t="array" ref="H24">Common_Equations.Common_ConvertN2OToCO2e(E24,_xlfn.XLOOKUP("N2O", Table_GWPData[Gas],Table_GWPData[CO2-e factor]))</f>
        <v>0</v>
      </c>
      <c r="I24" s="1" cm="1">
        <f t="array" ref="I24">Common_Equations.Common_ConvertN2OToCO2e(F24,_xlfn.XLOOKUP("N2O", Table_GWPData[Gas],Table_GWPData[CO2-e factor]))</f>
        <v>0</v>
      </c>
      <c r="J24" s="9" t="s">
        <v>6</v>
      </c>
    </row>
    <row r="25" spans="1:10" ht="20.100000000000001" customHeight="1" x14ac:dyDescent="0.25">
      <c r="A25" s="5" t="str">
        <f>HYPERLINK("#'Input - Manure sent off-site'!A1", "Manure sent off-site")</f>
        <v>Manure sent off-site</v>
      </c>
      <c r="D25" s="1" t="s">
        <v>139</v>
      </c>
      <c r="E25" s="1" cm="1">
        <f t="array" ref="E25">VEERG_6_3_1_1__1__LeachingAndRunoffEmissionsCropAndPastureResidue_PastureOnly_Result_Method1</f>
        <v>3.0793186285714277E-7</v>
      </c>
      <c r="F25" s="1" cm="1">
        <f t="array" ref="F25">VEERG_6_3_1_1__1__LeachingAndRunoffEmissionsCropAndPastureResidue_PastureOnly_Result_Method2</f>
        <v>3.0793186285714277E-7</v>
      </c>
      <c r="G25" s="1" t="s">
        <v>11</v>
      </c>
      <c r="H25" s="1" cm="1">
        <f t="array" ref="H25">Common_Equations.Common_ConvertN2OToCO2e(E25,_xlfn.XLOOKUP("N2O", Table_GWPData[Gas],Table_GWPData[CO2-e factor]))</f>
        <v>8.1601943657142831E-5</v>
      </c>
      <c r="I25" s="1" cm="1">
        <f t="array" ref="I25">Common_Equations.Common_ConvertN2OToCO2e(F25,_xlfn.XLOOKUP("N2O", Table_GWPData[Gas],Table_GWPData[CO2-e factor]))</f>
        <v>8.1601943657142831E-5</v>
      </c>
      <c r="J25" s="9" t="s">
        <v>6</v>
      </c>
    </row>
    <row r="26" spans="1:10" ht="20.100000000000001" customHeight="1" x14ac:dyDescent="0.25">
      <c r="A26" s="5" t="str">
        <f>HYPERLINK("#'Input - Data quality'!A1", "Data quality")</f>
        <v>Data quality</v>
      </c>
      <c r="D26" s="1" t="s">
        <v>140</v>
      </c>
      <c r="E26" s="1" cm="1">
        <f t="array" ref="E26">VEERG_8_1_1_1__1_FuelCombustionTransport_Result_CO2</f>
        <v>83.182000000000002</v>
      </c>
      <c r="F26" s="1">
        <f>E26</f>
        <v>83.182000000000002</v>
      </c>
      <c r="G26" s="1" t="s">
        <v>126</v>
      </c>
      <c r="H26" s="1">
        <f>E26</f>
        <v>83.182000000000002</v>
      </c>
      <c r="I26" s="1">
        <f>F26</f>
        <v>83.182000000000002</v>
      </c>
      <c r="J26" s="9" t="s">
        <v>6</v>
      </c>
    </row>
    <row r="27" spans="1:10" ht="20.100000000000001" customHeight="1" x14ac:dyDescent="0.25">
      <c r="D27" s="1" t="s">
        <v>142</v>
      </c>
      <c r="E27" s="1" cm="1">
        <f t="array" ref="E27">VEERG_8_1_1_1__1_FuelCombustionTransport_Result_CH4</f>
        <v>0.19906000000000001</v>
      </c>
      <c r="F27" s="1">
        <f>E27</f>
        <v>0.19906000000000001</v>
      </c>
      <c r="G27" s="1" t="s">
        <v>5</v>
      </c>
      <c r="H27" s="1" cm="1">
        <f t="array" ref="H27">Common_Equations.Common_ConvertCH4ToCO2e(E27,_xlfn.XLOOKUP("CH4", Table_GWPData[Gas],Table_GWPData[CO2-e factor]))</f>
        <v>5.5736800000000004</v>
      </c>
      <c r="I27" s="1" cm="1">
        <f t="array" ref="I27">Common_Equations.Common_ConvertCH4ToCO2e(F27,_xlfn.XLOOKUP("CH4", Table_GWPData[Gas],Table_GWPData[CO2-e factor]))</f>
        <v>5.5736800000000004</v>
      </c>
      <c r="J27" s="9" t="s">
        <v>6</v>
      </c>
    </row>
    <row r="28" spans="1:10" ht="20.100000000000001" customHeight="1" x14ac:dyDescent="0.25">
      <c r="D28" s="1" t="s">
        <v>141</v>
      </c>
      <c r="E28" s="1" cm="1">
        <f t="array" ref="E28">VEERG_8_1_1_1__1_FuelCombustionTransport_Result_N2O</f>
        <v>0.58450000000000002</v>
      </c>
      <c r="F28" s="1">
        <f>E28</f>
        <v>0.58450000000000002</v>
      </c>
      <c r="G28" s="1" t="s">
        <v>11</v>
      </c>
      <c r="H28" s="1" cm="1">
        <f t="array" ref="H28">Common_Equations.Common_ConvertN2OToCO2e(E28,_xlfn.XLOOKUP("N2O", Table_GWPData[Gas],Table_GWPData[CO2-e factor]))</f>
        <v>154.89250000000001</v>
      </c>
      <c r="I28" s="1" cm="1">
        <f t="array" ref="I28">Common_Equations.Common_ConvertN2OToCO2e(F28,_xlfn.XLOOKUP("N2O", Table_GWPData[Gas],Table_GWPData[CO2-e factor]))</f>
        <v>154.89250000000001</v>
      </c>
      <c r="J28" s="9" t="s">
        <v>6</v>
      </c>
    </row>
    <row r="29" spans="1:10" ht="20.100000000000001" customHeight="1" x14ac:dyDescent="0.25">
      <c r="A29" s="6" t="s">
        <v>2</v>
      </c>
      <c r="D29" s="1" t="s">
        <v>143</v>
      </c>
      <c r="E29" s="1" cm="1">
        <f t="array" ref="E29">VEERG_8_2_1_1__1_FuelCombustionStationary_Result_CO2</f>
        <v>29.070800000000002</v>
      </c>
      <c r="F29" s="1">
        <f>E29</f>
        <v>29.070800000000002</v>
      </c>
      <c r="G29" s="1" t="s">
        <v>126</v>
      </c>
      <c r="H29" s="1">
        <f>E29</f>
        <v>29.070800000000002</v>
      </c>
      <c r="I29" s="1">
        <f>F29</f>
        <v>29.070800000000002</v>
      </c>
      <c r="J29" s="9" t="s">
        <v>6</v>
      </c>
    </row>
    <row r="30" spans="1:10" ht="20.100000000000001" customHeight="1" x14ac:dyDescent="0.25">
      <c r="A30" s="5" t="str">
        <f>HYPERLINK("#'3.3.1.1-2 Enteric Methane'!A1", "3.3.1.1-2 Enteric methane")</f>
        <v>3.3.1.1-2 Enteric methane</v>
      </c>
      <c r="D30" s="1" t="s">
        <v>144</v>
      </c>
      <c r="E30" s="1" cm="1">
        <f t="array" ref="E30">VEERG_8_2_1_1__1_FuelCombustionStationary_Result_CH4</f>
        <v>7.2400000000000006E-2</v>
      </c>
      <c r="F30" s="1">
        <f t="shared" ref="F30:F33" si="0">E30</f>
        <v>7.2400000000000006E-2</v>
      </c>
      <c r="G30" s="1" t="s">
        <v>5</v>
      </c>
      <c r="H30" s="1" cm="1">
        <f t="array" ref="H30">Common_Equations.Common_ConvertCH4ToCO2e(E30,_xlfn.XLOOKUP("CH4", Table_GWPData[Gas],Table_GWPData[CO2-e factor]))</f>
        <v>2.0272000000000001</v>
      </c>
      <c r="I30" s="1" cm="1">
        <f t="array" ref="I30">Common_Equations.Common_ConvertCH4ToCO2e(F30,_xlfn.XLOOKUP("CH4", Table_GWPData[Gas],Table_GWPData[CO2-e factor]))</f>
        <v>2.0272000000000001</v>
      </c>
      <c r="J30" s="9" t="s">
        <v>6</v>
      </c>
    </row>
    <row r="31" spans="1:10" ht="20.100000000000001" customHeight="1" x14ac:dyDescent="0.25">
      <c r="A31" s="5" t="str">
        <f>HYPERLINK("#'4.3.1.1-2 Methane'!A1", "4.3.1.1-2 Manure methane")</f>
        <v>4.3.1.1-2 Manure methane</v>
      </c>
      <c r="D31" s="1" t="s">
        <v>145</v>
      </c>
      <c r="E31" s="1" cm="1">
        <f t="array" ref="E31">VEERG_8_2_1_1__1_FuelCombustionStationary_Result_N2O</f>
        <v>7.1400000000000005E-2</v>
      </c>
      <c r="F31" s="1">
        <f t="shared" si="0"/>
        <v>7.1400000000000005E-2</v>
      </c>
      <c r="G31" s="1" t="s">
        <v>11</v>
      </c>
      <c r="H31" s="1" cm="1">
        <f t="array" ref="H31">Common_Equations.Common_ConvertN2OToCO2e(E31,_xlfn.XLOOKUP("N2O", Table_GWPData[Gas],Table_GWPData[CO2-e factor]))</f>
        <v>18.921000000000003</v>
      </c>
      <c r="I31" s="1" cm="1">
        <f t="array" ref="I31">Common_Equations.Common_ConvertN2OToCO2e(F31,_xlfn.XLOOKUP("N2O", Table_GWPData[Gas],Table_GWPData[CO2-e factor]))</f>
        <v>18.921000000000003</v>
      </c>
      <c r="J31" s="9" t="s">
        <v>6</v>
      </c>
    </row>
    <row r="32" spans="1:10" ht="20.100000000000001" customHeight="1" x14ac:dyDescent="0.25">
      <c r="A32" s="5" t="str">
        <f>HYPERLINK("#'4.3.1.3-4 Direct N20'!A1", "4.3.1.3-4 Direct N20")</f>
        <v>4.3.1.3-4 Direct N20</v>
      </c>
      <c r="D32" s="1" t="s">
        <v>146</v>
      </c>
      <c r="E32" s="1" cm="1">
        <f t="array" ref="E32">VEERG_14_1_1__1_LocationBasedScopeElectricityEmissions_Result_Method1</f>
        <v>16.8</v>
      </c>
      <c r="F32" s="1">
        <f t="shared" si="0"/>
        <v>16.8</v>
      </c>
      <c r="G32" s="1" t="s">
        <v>6</v>
      </c>
      <c r="H32" s="1">
        <f>E32</f>
        <v>16.8</v>
      </c>
      <c r="I32" s="1">
        <f>F32</f>
        <v>16.8</v>
      </c>
      <c r="J32" s="9" t="s">
        <v>6</v>
      </c>
    </row>
    <row r="33" spans="1:10" ht="20.100000000000001" customHeight="1" x14ac:dyDescent="0.25">
      <c r="A33" s="5" t="str">
        <f>HYPERLINK("#'4.3.1.5 Atmos deposition'!A1", "4.3.1.5 Atmos deposition")</f>
        <v>4.3.1.5 Atmos deposition</v>
      </c>
      <c r="D33" s="1" t="s">
        <v>147</v>
      </c>
      <c r="E33" s="1" cm="1">
        <f t="array" ref="E33">VEERG_14_1_2__1_MarketBasedScopeElectricityEmissionsVariation_Result_Method1</f>
        <v>13.77</v>
      </c>
      <c r="F33" s="1">
        <f t="shared" si="0"/>
        <v>13.77</v>
      </c>
      <c r="G33" s="1" t="s">
        <v>6</v>
      </c>
      <c r="H33" s="1">
        <f>E33</f>
        <v>13.77</v>
      </c>
      <c r="I33" s="1">
        <f>F33</f>
        <v>13.77</v>
      </c>
      <c r="J33" s="9" t="s">
        <v>6</v>
      </c>
    </row>
    <row r="34" spans="1:10" ht="20.100000000000001" customHeight="1" x14ac:dyDescent="0.25">
      <c r="A34" s="5" t="str">
        <f>HYPERLINK("#'4.3.1.6-7 Leaching and runoff'!A1", "4.3.1.6-7 Leaching &amp; runoff")</f>
        <v>4.3.1.6-7 Leaching &amp; runoff</v>
      </c>
      <c r="D34" s="88" t="s">
        <v>247</v>
      </c>
      <c r="E34" s="89"/>
      <c r="F34" s="89"/>
      <c r="G34" s="89"/>
      <c r="H34" s="88" t="e">
        <f ca="1">SUM(H10:H33)</f>
        <v>#N/A</v>
      </c>
      <c r="I34" s="88" t="e">
        <f ca="1">SUM(I10:I33)</f>
        <v>#N/A</v>
      </c>
      <c r="J34" s="90" t="s">
        <v>6</v>
      </c>
    </row>
    <row r="35" spans="1:10" ht="20.100000000000001" customHeight="1" x14ac:dyDescent="0.25">
      <c r="A35" s="5" t="str">
        <f>HYPERLINK("#'4.3.1.8 Manure applied to soils'!A1", "4.3.1.8 Manure applied to soils")</f>
        <v>4.3.1.8 Manure applied to soils</v>
      </c>
    </row>
    <row r="36" spans="1:10" ht="20.100000000000001" customHeight="1" x14ac:dyDescent="0.25">
      <c r="A36" s="5" t="str">
        <f>HYPERLINK("#'4.3.1.9 Soil direct N2O'!A1", "4.3.1.9 Soil direct N2O")</f>
        <v>4.3.1.9 Soil direct N2O</v>
      </c>
    </row>
    <row r="37" spans="1:10" ht="20.100000000000001" customHeight="1" x14ac:dyDescent="0.25">
      <c r="A37" s="5" t="str">
        <f>HYPERLINK("#'4.3.1.10-11 Soil Atmos Dep'!A1", "4.3.1.10-11 Soil Atmos Deposition")</f>
        <v>4.3.1.10-11 Soil Atmos Deposition</v>
      </c>
      <c r="D37" s="78" t="s">
        <v>248</v>
      </c>
    </row>
    <row r="38" spans="1:10" ht="20.100000000000001" customHeight="1" x14ac:dyDescent="0.25">
      <c r="A38" s="5" t="str">
        <f>HYPERLINK("#'4.3.1.12-13 Soil leach runoff'!A1", "4.3.1.12-13 Soil leach &amp; runoff")</f>
        <v>4.3.1.12-13 Soil leach &amp; runoff</v>
      </c>
    </row>
    <row r="39" spans="1:10" ht="20.100000000000001" customHeight="1" x14ac:dyDescent="0.25">
      <c r="A39" s="5" t="str">
        <f>HYPERLINK("#'5.1.1.1-2 Inorganic fert N2O'!A1", "5.1.1.1-2 Inorganic fert N2O")</f>
        <v>5.1.1.1-2 Inorganic fert N2O</v>
      </c>
      <c r="D39" s="11" t="s">
        <v>249</v>
      </c>
      <c r="E39" s="11" t="s">
        <v>7</v>
      </c>
      <c r="F39" s="11" t="s">
        <v>8</v>
      </c>
      <c r="G39" s="11" t="s">
        <v>4</v>
      </c>
      <c r="H39" s="11" t="s">
        <v>9</v>
      </c>
      <c r="I39" s="11" t="s">
        <v>10</v>
      </c>
      <c r="J39" s="11"/>
    </row>
    <row r="40" spans="1:10" ht="20.100000000000001" customHeight="1" x14ac:dyDescent="0.25">
      <c r="A40" s="5" t="str">
        <f>HYPERLINK("#'5.1.1.3-4 Inorganic fert CO2'!A1", "5.1.1.3-4 Inorganic fert CO2")</f>
        <v>5.1.1.3-4 Inorganic fert CO2</v>
      </c>
      <c r="D40" s="1" t="str" cm="1">
        <f t="array" ref="D40">"14.1.1-2 Purchased electricity " &amp; IF(X_Cell_Electricity_CalculationMethod="Location-based (simpler)", "(Location-based)", "(Market-based)")</f>
        <v>14.1.1-2 Purchased electricity (Location-based)</v>
      </c>
      <c r="E40" s="1" cm="1">
        <f t="array" ref="E40">IF(X_Cell_Electricity_CalculationMethod="Location-based (simpler)", VEERG_14_1_1__1_LocationBasedScopeElectricityEmissions_Result_Method1, VEERG_14_1_2__1_MarketBasedScopeElectricityEmissionsVariation_Result_Method1)</f>
        <v>16.8</v>
      </c>
      <c r="F40" s="1">
        <f>E34</f>
        <v>0</v>
      </c>
      <c r="G40" s="9" t="s">
        <v>6</v>
      </c>
      <c r="H40" s="1">
        <f>E34</f>
        <v>0</v>
      </c>
      <c r="I40" s="1">
        <f>F34</f>
        <v>0</v>
      </c>
      <c r="J40" s="9" t="s">
        <v>6</v>
      </c>
    </row>
    <row r="41" spans="1:10" ht="20.100000000000001" customHeight="1" x14ac:dyDescent="0.25">
      <c r="A41" s="5" t="str">
        <f>HYPERLINK("#'5.2.1.1-2 Organic Fert N2O'!A1", "5.2.1.1-2 Organic fert N2O")</f>
        <v>5.2.1.1-2 Organic fert N2O</v>
      </c>
      <c r="D41" s="88" t="s">
        <v>250</v>
      </c>
      <c r="E41" s="91"/>
      <c r="F41" s="91"/>
      <c r="G41" s="91"/>
      <c r="H41" s="88" t="e">
        <f ca="1">SUM(H34:H34)</f>
        <v>#N/A</v>
      </c>
      <c r="I41" s="88" t="e">
        <f ca="1">SUM(I34:I34)</f>
        <v>#N/A</v>
      </c>
      <c r="J41" s="90" t="s">
        <v>6</v>
      </c>
    </row>
    <row r="42" spans="1:10" ht="20.100000000000001" customHeight="1" x14ac:dyDescent="0.25">
      <c r="A42" s="5" t="str">
        <f>HYPERLINK("#'5.3.1.1-2 Lime CO2'!A1", "5.3.1.1-2 Lime CO2")</f>
        <v>5.3.1.1-2 Lime CO2</v>
      </c>
    </row>
    <row r="43" spans="1:10" ht="20.100000000000001" customHeight="1" x14ac:dyDescent="0.25">
      <c r="A43" s="5" t="str">
        <f>HYPERLINK("#'5.4.1.1-4 Atmos deposition'!A1", "5.4.1.1-4 Atmos. deposition")</f>
        <v>5.4.1.1-4 Atmos. deposition</v>
      </c>
    </row>
    <row r="44" spans="1:10" ht="20.100000000000001" customHeight="1" x14ac:dyDescent="0.25">
      <c r="A44" s="5" t="str">
        <f>HYPERLINK("#'5.5.1.1-2 Leaching and runoff'!A1", "5.5.1.1-2 Leaching &amp; runoff")</f>
        <v>5.5.1.1-2 Leaching &amp; runoff</v>
      </c>
      <c r="D44" s="78" t="s">
        <v>251</v>
      </c>
    </row>
    <row r="45" spans="1:10" ht="20.100000000000001" customHeight="1" x14ac:dyDescent="0.25">
      <c r="A45" s="5" t="str">
        <f>HYPERLINK("#'6.2.1.1-2 Pasture residue N2O'!A1", "6.2.1.1-2 Pasture residue N2O")</f>
        <v>6.2.1.1-2 Pasture residue N2O</v>
      </c>
      <c r="D45" s="11" t="s">
        <v>252</v>
      </c>
      <c r="E45" s="11" t="s">
        <v>7</v>
      </c>
      <c r="F45" s="11" t="s">
        <v>8</v>
      </c>
      <c r="G45" s="11" t="s">
        <v>4</v>
      </c>
      <c r="H45" s="11" t="s">
        <v>9</v>
      </c>
      <c r="I45" s="11" t="s">
        <v>10</v>
      </c>
      <c r="J45" s="11"/>
    </row>
    <row r="46" spans="1:10" ht="20.100000000000001" customHeight="1" x14ac:dyDescent="0.25">
      <c r="A46" s="5" t="str">
        <f>HYPERLINK("#'6.3.1.1-2 Leach runoff pasture'!A1", "6.3.1.1-2 Leach &amp; runoff (pasture)")</f>
        <v>6.3.1.1-2 Leach &amp; runoff (pasture)</v>
      </c>
      <c r="D46" s="1" t="s">
        <v>253</v>
      </c>
      <c r="E46" s="1" cm="1">
        <f t="array" ref="E46">VEERG_15_1_1_1__1_EmissionsFromPurchasedLivestock_Result_Method1</f>
        <v>295.47000000000003</v>
      </c>
      <c r="F46" s="1" cm="1">
        <f t="array" ref="F46">VEERG_15_1_1_1__1_EmissionsFromPurchasedLivestock_Result_Method2</f>
        <v>415.625</v>
      </c>
      <c r="G46" s="9" t="s">
        <v>6</v>
      </c>
      <c r="H46" s="1">
        <f>E46</f>
        <v>295.47000000000003</v>
      </c>
      <c r="I46" s="1">
        <f>F46</f>
        <v>415.625</v>
      </c>
      <c r="J46" s="9" t="s">
        <v>6</v>
      </c>
    </row>
    <row r="47" spans="1:10" ht="20.100000000000001" customHeight="1" x14ac:dyDescent="0.25">
      <c r="A47" s="5" t="str">
        <f>HYPERLINK("#'8.1.1.1-2 Transport fuel'!A1", "8.1.1.1-2 Transport fuel")</f>
        <v>8.1.1.1-2 Transport fuel</v>
      </c>
      <c r="D47" s="1" t="s">
        <v>254</v>
      </c>
      <c r="E47" s="1" cm="1">
        <f t="array" ref="E47">VEERG_15_2_1_1__1_EmissionsFromPurchasedFeed_Result_Method1</f>
        <v>0.78505200000000008</v>
      </c>
      <c r="F47" s="1" cm="1">
        <f t="array" ref="F47">VEERG_15_2_1_1__1_EmissionsFromPurchasedFeed_Result_Method2</f>
        <v>0.52978000000000003</v>
      </c>
      <c r="G47" s="9" t="s">
        <v>6</v>
      </c>
      <c r="H47" s="1">
        <f t="shared" ref="H47:I58" si="1">E47</f>
        <v>0.78505200000000008</v>
      </c>
      <c r="I47" s="1">
        <f t="shared" si="1"/>
        <v>0.52978000000000003</v>
      </c>
      <c r="J47" s="9" t="s">
        <v>6</v>
      </c>
    </row>
    <row r="48" spans="1:10" ht="20.100000000000001" customHeight="1" x14ac:dyDescent="0.25">
      <c r="A48" s="5" t="str">
        <f>HYPERLINK("#'8.2.1.1-2 Stationary fuel'!A1", "8.2.1.1-2 Stationary fuel")</f>
        <v>8.2.1.1-2 Stationary fuel</v>
      </c>
      <c r="D48" s="1" t="s">
        <v>255</v>
      </c>
      <c r="E48" s="1" cm="1">
        <f t="array" ref="E48">VEERG_15_3_1_1__1_EmissionsFromPurchasedMineralSupplements_Result_Method1</f>
        <v>0.1789</v>
      </c>
      <c r="F48" s="1" cm="1">
        <f t="array" ref="F48">VEERG_15_3_1_1__1_EmissionsFromPurchasedMineralSupplements_Result_Method2</f>
        <v>0.16</v>
      </c>
      <c r="G48" s="9" t="s">
        <v>6</v>
      </c>
      <c r="H48" s="1">
        <f t="shared" si="1"/>
        <v>0.1789</v>
      </c>
      <c r="I48" s="1">
        <f t="shared" si="1"/>
        <v>0.16</v>
      </c>
      <c r="J48" s="9" t="s">
        <v>6</v>
      </c>
    </row>
    <row r="49" spans="1:10" ht="20.100000000000001" customHeight="1" x14ac:dyDescent="0.25">
      <c r="A49" s="5" t="str">
        <f>HYPERLINK("#'10.1.1-2 Solid waste treatment'!A1", "10.1.1.1-2 Solid waste")</f>
        <v>10.1.1.1-2 Solid waste</v>
      </c>
      <c r="D49" s="1" t="s">
        <v>256</v>
      </c>
      <c r="E49" s="1" cm="1">
        <f t="array" ref="E49">VEERG_15_4_1_1__2_EmissionsFromPurchasedFertiliserComponentsVariation_Result_Method1</f>
        <v>0</v>
      </c>
      <c r="F49" s="1" cm="1">
        <f t="array" ref="F49">VEERG_15_4_1_1__2_EmissionsFromPurchasedFertiliserComponentsVariation_Result_Method2</f>
        <v>0</v>
      </c>
      <c r="G49" s="9" t="s">
        <v>6</v>
      </c>
      <c r="H49" s="1">
        <f t="shared" si="1"/>
        <v>0</v>
      </c>
      <c r="I49" s="1">
        <f t="shared" si="1"/>
        <v>0</v>
      </c>
      <c r="J49" s="9" t="s">
        <v>6</v>
      </c>
    </row>
    <row r="50" spans="1:10" ht="20.100000000000001" customHeight="1" x14ac:dyDescent="0.25">
      <c r="A50" s="5" t="str">
        <f>HYPERLINK("#'14.1.1-2 Purchased electricity'!A1", "14.1.1-2 Purchased electricity")</f>
        <v>14.1.1-2 Purchased electricity</v>
      </c>
      <c r="D50" s="1" t="s">
        <v>257</v>
      </c>
      <c r="E50" s="1" cm="1">
        <f t="array" ref="E50">VEERG_15_5_1_1__1_EmissionsFromPurchasedAgrichemicals_Result_Method1</f>
        <v>7.5159999999999991</v>
      </c>
      <c r="F50" s="1" cm="1">
        <f t="array" ref="F50">VEERG_15_5_1_1__1_EmissionsFromPurchasedAgrichemicals_Result_Method2</f>
        <v>7.4959999999999996</v>
      </c>
      <c r="G50" s="9" t="s">
        <v>6</v>
      </c>
      <c r="H50" s="1">
        <f t="shared" si="1"/>
        <v>7.5159999999999991</v>
      </c>
      <c r="I50" s="1">
        <f t="shared" si="1"/>
        <v>7.4959999999999996</v>
      </c>
      <c r="J50" s="9" t="s">
        <v>6</v>
      </c>
    </row>
    <row r="51" spans="1:10" ht="20.100000000000001" customHeight="1" x14ac:dyDescent="0.25">
      <c r="A51" s="5" t="str">
        <f>HYPERLINK("#'15 Scope 3'!A1", "15 Scope 3")</f>
        <v>15 Scope 3</v>
      </c>
      <c r="D51" s="1" t="s">
        <v>258</v>
      </c>
      <c r="E51" s="1" cm="1">
        <f t="array" ref="E51">VEERG_15_6_1_1__1_EmissionsFromPurchasedLime_Result_Method1</f>
        <v>0</v>
      </c>
      <c r="F51" s="1" cm="1">
        <f t="array" ref="F51">VEERG_15_6_1_1__1_EmissionsFromPurchasedLime_Result_Method2</f>
        <v>0</v>
      </c>
      <c r="G51" s="9" t="s">
        <v>6</v>
      </c>
      <c r="H51" s="1">
        <f t="shared" si="1"/>
        <v>0</v>
      </c>
      <c r="I51" s="1">
        <f t="shared" si="1"/>
        <v>0</v>
      </c>
      <c r="J51" s="9" t="s">
        <v>6</v>
      </c>
    </row>
    <row r="52" spans="1:10" ht="20.100000000000001" customHeight="1" x14ac:dyDescent="0.25">
      <c r="A52" s="5" t="str">
        <f>HYPERLINK("#'Calcs - Manure sent off-site'!A1", "Calcs - Manure sent off-site")</f>
        <v>Calcs - Manure sent off-site</v>
      </c>
      <c r="D52" s="1" t="s">
        <v>259</v>
      </c>
      <c r="E52" s="1" t="str" cm="1">
        <f t="array" ref="E52">VEERG_15_7_1_1__1_EmissionsFromPurchasedServices_Result_Method1</f>
        <v>No data</v>
      </c>
      <c r="F52" s="1" cm="1">
        <f t="array" ref="F52">VEERG_15_7_1_1__1_EmissionsFromPurchasedServices_Result_Method2</f>
        <v>42</v>
      </c>
      <c r="G52" s="9" t="s">
        <v>6</v>
      </c>
      <c r="H52" s="1" t="str">
        <f t="shared" si="1"/>
        <v>No data</v>
      </c>
      <c r="I52" s="1">
        <f t="shared" si="1"/>
        <v>42</v>
      </c>
      <c r="J52" s="9" t="s">
        <v>6</v>
      </c>
    </row>
    <row r="53" spans="1:10" ht="20.100000000000001" customHeight="1" x14ac:dyDescent="0.25">
      <c r="D53" s="1" t="s">
        <v>260</v>
      </c>
      <c r="E53" s="1" cm="1">
        <f t="array" ref="E53">VEERG_15_10_1_1__1_OtherPurchasedGoodsAndServices_CleaningChemicals_Result_Method1</f>
        <v>0.50509999999999999</v>
      </c>
      <c r="F53" s="1" cm="1">
        <f t="array" ref="F53">VEERG_15_10_1_1__1_OtherPurchasedGoodsAndServices_CleaningChemicals_Result_Method2</f>
        <v>2.73</v>
      </c>
      <c r="G53" s="9" t="s">
        <v>6</v>
      </c>
      <c r="H53" s="1">
        <f t="shared" si="1"/>
        <v>0.50509999999999999</v>
      </c>
      <c r="I53" s="1">
        <f t="shared" si="1"/>
        <v>2.73</v>
      </c>
      <c r="J53" s="9" t="s">
        <v>6</v>
      </c>
    </row>
    <row r="54" spans="1:10" ht="20.100000000000001" customHeight="1" x14ac:dyDescent="0.25">
      <c r="D54" s="1" t="s">
        <v>261</v>
      </c>
      <c r="E54" s="1" cm="1">
        <f t="array" ref="E54">VEERG_15_10_1_1__1_OtherPurchasedGoodsAndServices_PharmacyChemicals_Result_Method1</f>
        <v>1.5636000000000001E-2</v>
      </c>
      <c r="F54" s="1" cm="1">
        <f t="array" ref="F54">VEERG_15_10_1_1__1_OtherPurchasedGoodsAndServices_PharmacyChemicals_Result_Method2</f>
        <v>1.3400000000000002E-2</v>
      </c>
      <c r="G54" s="9" t="s">
        <v>6</v>
      </c>
      <c r="H54" s="1">
        <f t="shared" si="1"/>
        <v>1.5636000000000001E-2</v>
      </c>
      <c r="I54" s="1">
        <f t="shared" si="1"/>
        <v>1.3400000000000002E-2</v>
      </c>
      <c r="J54" s="9" t="s">
        <v>6</v>
      </c>
    </row>
    <row r="55" spans="1:10" ht="20.100000000000001" customHeight="1" x14ac:dyDescent="0.25">
      <c r="A55" s="83" t="s">
        <v>1</v>
      </c>
      <c r="D55" s="1" t="s">
        <v>262</v>
      </c>
      <c r="E55" s="1" cm="1">
        <f t="array" ref="E55">VEERG_15_10_1_1__1_OtherPurchasedGoodsAndServices_Misc_Result_Method1</f>
        <v>1.01E-2</v>
      </c>
      <c r="F55" s="1" cm="1">
        <f t="array" ref="F55">VEERG_15_10_1_1__1_OtherPurchasedGoodsAndServices_Misc_Result_Method2</f>
        <v>2.5860000000000001E-2</v>
      </c>
      <c r="G55" s="9" t="s">
        <v>6</v>
      </c>
      <c r="H55" s="1">
        <f t="shared" si="1"/>
        <v>1.01E-2</v>
      </c>
      <c r="I55" s="1">
        <f t="shared" si="1"/>
        <v>2.5860000000000001E-2</v>
      </c>
      <c r="J55" s="9" t="s">
        <v>6</v>
      </c>
    </row>
    <row r="56" spans="1:10" ht="20.100000000000001" customHeight="1" x14ac:dyDescent="0.25">
      <c r="A56" s="5" t="str">
        <f>HYPERLINK("#'Constants - Dairy'!A1", "Constants - Dairy")</f>
        <v>Constants - Dairy</v>
      </c>
      <c r="D56" s="1" t="s">
        <v>263</v>
      </c>
      <c r="E56" s="1" t="str" cm="1">
        <f t="array" ref="E56">VEERG_15_10_1_1__1_OtherPurchasedGoodsAndServices_Uncategorised_Result_Method1</f>
        <v>No data</v>
      </c>
      <c r="F56" s="1" cm="1">
        <f t="array" ref="F56">VEERG_15_10_1_1__1_OtherPurchasedGoodsAndServices_Uncategorised_Result_Method2</f>
        <v>4000</v>
      </c>
      <c r="G56" s="9" t="s">
        <v>6</v>
      </c>
      <c r="H56" s="1" t="str">
        <f t="shared" si="1"/>
        <v>No data</v>
      </c>
      <c r="I56" s="1">
        <f t="shared" si="1"/>
        <v>4000</v>
      </c>
      <c r="J56" s="9" t="s">
        <v>6</v>
      </c>
    </row>
    <row r="57" spans="1:10" ht="20.100000000000001" customHeight="1" x14ac:dyDescent="0.25">
      <c r="A57" s="5" t="str">
        <f>HYPERLINK("#'Constants - Ag Residue'!A1", "Constants - Ag residue")</f>
        <v>Constants - Ag residue</v>
      </c>
      <c r="D57" s="1" t="s">
        <v>264</v>
      </c>
      <c r="E57" s="1" cm="1">
        <f t="array" ref="E57">VEERG_15_11_1_1__1_TotalUpstreamEmissionsFromFuel_Result</f>
        <v>26.384</v>
      </c>
      <c r="F57" s="1">
        <f>E57</f>
        <v>26.384</v>
      </c>
      <c r="G57" s="9" t="s">
        <v>6</v>
      </c>
      <c r="H57" s="1">
        <f t="shared" si="1"/>
        <v>26.384</v>
      </c>
      <c r="I57" s="1">
        <f t="shared" si="1"/>
        <v>26.384</v>
      </c>
      <c r="J57" s="9" t="s">
        <v>6</v>
      </c>
    </row>
    <row r="58" spans="1:10" ht="20.100000000000001" customHeight="1" x14ac:dyDescent="0.25">
      <c r="A58" s="5" t="str">
        <f>HYPERLINK("#'Constants - Common Livestock'!A1", "Constants - Common Livestock")</f>
        <v>Constants - Common Livestock</v>
      </c>
      <c r="D58" s="1" t="str" cm="1">
        <f t="array" ref="D58">"15.12.1.1 Purchased electricity " &amp; IF(X_Cell_Electricity_CalculationMethod="Location-based (simpler)", "(Location-based)", "(Market-based)")</f>
        <v>15.12.1.1 Purchased electricity (Location-based)</v>
      </c>
      <c r="E58" s="1" cm="1">
        <f t="array" ref="E58">IF(X_Cell_Electricity_CalculationMethod="Location-based (simpler)", VEERG_15_12_1_1__1_UpstreamPurchasedElectricityLocationBased_Result, VEERG_15_12_1_1__1_UpstreamPurchasedElectricityMarketBased_Result)</f>
        <v>2.7</v>
      </c>
      <c r="F58" s="1">
        <f>E58</f>
        <v>2.7</v>
      </c>
      <c r="G58" s="9" t="s">
        <v>6</v>
      </c>
      <c r="H58" s="1">
        <f t="shared" si="1"/>
        <v>2.7</v>
      </c>
      <c r="I58" s="1">
        <f t="shared" si="1"/>
        <v>2.7</v>
      </c>
      <c r="J58" s="9" t="s">
        <v>6</v>
      </c>
    </row>
    <row r="59" spans="1:10" ht="20.100000000000001" customHeight="1" x14ac:dyDescent="0.25">
      <c r="A59" s="5" t="str">
        <f>HYPERLINK("#'Constants - Electricity'!A1", "Constants - Electricity")</f>
        <v>Constants - Electricity</v>
      </c>
      <c r="D59" s="1" t="s">
        <v>265</v>
      </c>
      <c r="E59" s="1" t="str" cm="1">
        <f t="array" ref="E59">VEERG_15_14_1_1__1_EmbeddedEmissionsFromUpstreamFreight_Incoming_Result_Method1</f>
        <v>No data</v>
      </c>
      <c r="F59" s="1" cm="1">
        <f t="array" ref="F59">VEERG_15_14_1_1__1_EmbeddedEmissionsFromUpstreamFreight_Incoming_Result_Method2</f>
        <v>5146700</v>
      </c>
      <c r="G59" s="9" t="s">
        <v>6</v>
      </c>
      <c r="H59" s="1" t="str">
        <f>E59</f>
        <v>No data</v>
      </c>
      <c r="I59" s="1">
        <f>F59</f>
        <v>5146700</v>
      </c>
      <c r="J59" s="9" t="s">
        <v>6</v>
      </c>
    </row>
    <row r="60" spans="1:10" ht="20.100000000000001" customHeight="1" x14ac:dyDescent="0.25">
      <c r="A60" s="5" t="str">
        <f>HYPERLINK("#'Constants - Fertiliser'!A1", "Constants - Fertiliser")</f>
        <v>Constants - Fertiliser</v>
      </c>
      <c r="D60" s="1" t="s">
        <v>266</v>
      </c>
      <c r="E60" s="1" cm="1">
        <f t="array" ref="E60">VEERG_10_1_1_1__1_EmissionsFromWasteManagement_Scope3_Result_Method1</f>
        <v>441.15000000000003</v>
      </c>
      <c r="F60" s="1">
        <f>E60</f>
        <v>441.15000000000003</v>
      </c>
      <c r="G60" s="9" t="s">
        <v>6</v>
      </c>
      <c r="H60" s="1">
        <f t="shared" ref="H60:I61" si="2">E60</f>
        <v>441.15000000000003</v>
      </c>
      <c r="I60" s="1">
        <f t="shared" si="2"/>
        <v>441.15000000000003</v>
      </c>
      <c r="J60" s="9" t="s">
        <v>6</v>
      </c>
    </row>
    <row r="61" spans="1:10" ht="20.100000000000001" customHeight="1" x14ac:dyDescent="0.25">
      <c r="A61" s="5" t="str">
        <f>HYPERLINK("#'Constants - Fuel'!A1", "Constants - Fuel")</f>
        <v>Constants - Fuel</v>
      </c>
      <c r="D61" s="1" t="s">
        <v>267</v>
      </c>
      <c r="E61" s="1" t="str" cm="1">
        <f t="array" ref="E61">VEERG_15_14_1_1__1_EmbeddedEmissionsFromUpstreamFreight_Outgoing_Result_Method1</f>
        <v>No data</v>
      </c>
      <c r="F61" s="1" cm="1">
        <f t="array" ref="F61">VEERG_15_14_1_1__1_EmbeddedEmissionsFromUpstreamFreight_Outgoing_Result_Method2</f>
        <v>432640</v>
      </c>
      <c r="G61" s="9" t="s">
        <v>6</v>
      </c>
      <c r="H61" s="1" t="str">
        <f t="shared" si="2"/>
        <v>No data</v>
      </c>
      <c r="I61" s="1">
        <f t="shared" si="2"/>
        <v>432640</v>
      </c>
      <c r="J61" s="9" t="s">
        <v>6</v>
      </c>
    </row>
    <row r="62" spans="1:10" ht="20.100000000000001" customHeight="1" x14ac:dyDescent="0.25">
      <c r="A62" s="5" t="str">
        <f>HYPERLINK("#'Constants - Scope 3'!A1", "Constants - Scope 3")</f>
        <v>Constants - Scope 3</v>
      </c>
      <c r="D62" s="88" t="s">
        <v>268</v>
      </c>
      <c r="E62" s="91"/>
      <c r="F62" s="91"/>
      <c r="G62" s="91"/>
      <c r="H62" s="88">
        <f>SUM(H46:H61)</f>
        <v>774.71478800000011</v>
      </c>
      <c r="I62" s="88">
        <f>SUM(I46:I61)</f>
        <v>5584278.8140400006</v>
      </c>
      <c r="J62" s="90" t="s">
        <v>6</v>
      </c>
    </row>
    <row r="63" spans="1:10" ht="20.100000000000001" customHeight="1" x14ac:dyDescent="0.25">
      <c r="A63" s="5" t="str">
        <f>HYPERLINK("#'Constants - Common'!A1", "Constants - Common")</f>
        <v>Constants - Common</v>
      </c>
    </row>
    <row r="64" spans="1:10" ht="20.100000000000001" customHeight="1" x14ac:dyDescent="0.25">
      <c r="A64" s="5" t="str">
        <f>HYPERLINK("#'Constants - Solid Waste'!A1", "Constants - Solid Waste")</f>
        <v>Constants - Solid Waste</v>
      </c>
    </row>
    <row r="65" spans="1:7" ht="20.100000000000001" customHeight="1" x14ac:dyDescent="0.25">
      <c r="A65" s="5" t="str">
        <f>HYPERLINK("#'Acknowledgements'!A1", "Acknowledgements")</f>
        <v>Acknowledgements</v>
      </c>
      <c r="D65" s="78" t="str">
        <f>"Carbon removals from plantings for the activity period " &amp; TEXT(X_Cell_Site_StartDate, "d mmmm yyyy") &amp; " and " &amp; TEXT(X_Cell_Site_EndDate, "d mmmm yyyy")</f>
        <v>Carbon removals from plantings for the activity period 1 January 2024 and 31 December 2024</v>
      </c>
    </row>
    <row r="66" spans="1:7" ht="20.100000000000001" customHeight="1" x14ac:dyDescent="0.25"/>
    <row r="67" spans="1:7" ht="20.100000000000001" customHeight="1" x14ac:dyDescent="0.25">
      <c r="D67" s="88" t="s">
        <v>269</v>
      </c>
      <c r="E67" s="91">
        <f>SUM(Table_Input_Enterprise_PlantingRemovals[Removal allocated to this enterprise])</f>
        <v>0</v>
      </c>
      <c r="F67" s="90" t="s">
        <v>126</v>
      </c>
    </row>
    <row r="68" spans="1:7" ht="20.100000000000001" customHeight="1" x14ac:dyDescent="0.25"/>
    <row r="69" spans="1:7" ht="20.100000000000001" customHeight="1" x14ac:dyDescent="0.25"/>
    <row r="70" spans="1:7" ht="20.100000000000001" customHeight="1" x14ac:dyDescent="0.25">
      <c r="D70" s="78" t="str">
        <f>"Net emissions for the activity period " &amp; TEXT(X_Cell_Site_StartDate, "d mmmm yyyy") &amp; " and " &amp; TEXT(X_Cell_Site_EndDate, "d mmmm yyyy")</f>
        <v>Net emissions for the activity period 1 January 2024 and 31 December 2024</v>
      </c>
    </row>
    <row r="71" spans="1:7" ht="20.100000000000001" customHeight="1" x14ac:dyDescent="0.25"/>
    <row r="72" spans="1:7" ht="20.100000000000001" customHeight="1" x14ac:dyDescent="0.25">
      <c r="D72" s="11"/>
      <c r="E72" s="11" t="s">
        <v>129</v>
      </c>
      <c r="F72" s="11" t="s">
        <v>130</v>
      </c>
    </row>
    <row r="73" spans="1:7" ht="20.100000000000001" customHeight="1" x14ac:dyDescent="0.25">
      <c r="D73" s="86" t="s">
        <v>270</v>
      </c>
      <c r="E73" s="92" t="e">
        <f ca="1">Result_Enterprise_Scope1_Method1+Result_Enterprise_Scope2_Method1+Result_Enterprise_Scope3_Method1</f>
        <v>#N/A</v>
      </c>
      <c r="F73" s="92" t="e">
        <f ca="1">Result_Enterprise_Scope1_Method2+Result_Enterprise_Scope2_Method2+Result_Enterprise_Scope3_Method2</f>
        <v>#N/A</v>
      </c>
      <c r="G73" s="87" t="s">
        <v>271</v>
      </c>
    </row>
    <row r="74" spans="1:7" ht="20.100000000000001" customHeight="1" x14ac:dyDescent="0.25">
      <c r="D74" s="86" t="s">
        <v>272</v>
      </c>
      <c r="E74" s="92" t="e">
        <f ca="1">Result_Enterprise_Gross_Method1-Result_Enterprise_Removals</f>
        <v>#N/A</v>
      </c>
      <c r="F74" s="92" t="e">
        <f ca="1">Result_Enterprise_Gross_Method2-Result_Enterprise_Removals</f>
        <v>#N/A</v>
      </c>
      <c r="G74" s="87" t="s">
        <v>271</v>
      </c>
    </row>
    <row r="75" spans="1:7" ht="20.100000000000001" customHeight="1" x14ac:dyDescent="0.25"/>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DCBC-EA61-418F-9ACB-B83379D3C733}">
  <sheetPr>
    <tabColor rgb="FF0C769E"/>
  </sheetPr>
  <dimension ref="A1:N72"/>
  <sheetViews>
    <sheetView showGridLines="0" workbookViewId="0" zoomScale="100" zoomScaleNormal="100">
      <pane xSplit="1" topLeftCell="B1" activePane="topRight" state="frozenSplit"/>
      <selection pane="topRight" activeCell="A64" sqref="A64"/>
    </sheetView>
  </sheetViews>
  <sheetFormatPr defaultRowHeight="15" x14ac:dyDescent="0.25"/>
  <cols>
    <col min="1" max="1" width="36.7109375" customWidth="1"/>
    <col min="2" max="3" width="4.7109375" customWidth="1"/>
    <col min="4" max="4" width="53.7109375" customWidth="1"/>
    <col min="5" max="14" width="30.7109375" customWidth="1"/>
  </cols>
  <sheetData>
    <row r="1" spans="1:14" ht="30" customHeight="1" x14ac:dyDescent="0.35">
      <c r="A1" s="10" t="e" vm="1">
        <v>#VALUE!</v>
      </c>
      <c r="C1" s="85" t="s">
        <v>280</v>
      </c>
      <c r="D1" s="85"/>
      <c r="E1" s="85"/>
      <c r="F1" s="85"/>
      <c r="G1" s="85"/>
      <c r="H1" s="85"/>
      <c r="I1" s="85"/>
      <c r="J1" s="85"/>
      <c r="K1" s="85"/>
      <c r="L1" s="85"/>
      <c r="M1" s="85"/>
      <c r="N1" s="85"/>
    </row>
    <row r="2" spans="1:14" ht="20.100000000000001" customHeight="1" x14ac:dyDescent="0.25">
      <c r="C2" s="3"/>
      <c r="D2" s="3"/>
      <c r="E2" s="3"/>
      <c r="F2" s="3"/>
      <c r="G2" s="3"/>
      <c r="H2" s="3"/>
      <c r="I2" s="3"/>
      <c r="J2" s="3"/>
      <c r="K2" s="3"/>
      <c r="L2" s="3"/>
      <c r="M2" s="3"/>
      <c r="N2" s="3"/>
    </row>
    <row r="3" spans="1:14" ht="20.100000000000001" customHeight="1" x14ac:dyDescent="0.25">
      <c r="A3" s="5" t="str">
        <f>HYPERLINK("#'Home'!A1", "Home")</f>
        <v>Home</v>
      </c>
      <c r="C3" s="95"/>
      <c r="D3" s="95"/>
      <c r="E3" s="95"/>
      <c r="F3" s="95"/>
      <c r="G3" s="95"/>
      <c r="H3" s="95"/>
      <c r="I3" s="95"/>
      <c r="J3" s="95"/>
      <c r="K3" s="95"/>
      <c r="L3" s="95"/>
      <c r="M3" s="95"/>
      <c r="N3" s="95"/>
    </row>
    <row r="4" spans="1:14" ht="20.100000000000001" customHeight="1" x14ac:dyDescent="0.25">
      <c r="A4" s="5" t="str">
        <f>HYPERLINK("#'Results - Activity period'!A1", "Results - Activity period")</f>
        <v>Results - Activity period</v>
      </c>
      <c r="C4" s="1"/>
      <c r="D4" s="1"/>
      <c r="E4" s="1"/>
      <c r="F4" s="1"/>
      <c r="G4" s="1"/>
      <c r="H4" s="1"/>
      <c r="I4" s="1"/>
      <c r="J4" s="1"/>
      <c r="K4" s="1"/>
      <c r="L4" s="1"/>
      <c r="M4" s="1"/>
      <c r="N4" s="1"/>
    </row>
    <row r="5" spans="1:14" ht="20.100000000000001" customHeight="1" x14ac:dyDescent="0.25">
      <c r="A5" s="275" t="str">
        <f>HYPERLINK("#'Results - Product EI'!A1", "Results - Product Emissions Intensity")</f>
        <v>Results - Product Emissions Intensity</v>
      </c>
      <c r="C5" s="1"/>
      <c r="D5" s="1"/>
      <c r="E5" s="1"/>
      <c r="F5" s="1"/>
      <c r="G5" s="1"/>
      <c r="H5" s="1"/>
      <c r="I5" s="1"/>
      <c r="J5" s="1"/>
      <c r="K5" s="1"/>
      <c r="L5" s="1"/>
      <c r="M5" s="1"/>
      <c r="N5" s="1"/>
    </row>
    <row r="6" spans="1:14" ht="20.100000000000001" customHeight="1" x14ac:dyDescent="0.25">
      <c r="A6" s="5" t="str">
        <f>HYPERLINK("#'Results'!A1", "Results")</f>
        <v>Results</v>
      </c>
      <c r="C6" s="1"/>
      <c r="D6" s="1"/>
      <c r="E6" s="1"/>
      <c r="F6" s="1"/>
      <c r="G6" s="1"/>
      <c r="H6" s="1"/>
      <c r="I6" s="1"/>
      <c r="J6" s="1"/>
      <c r="K6" s="1"/>
      <c r="L6" s="1"/>
      <c r="M6" s="1"/>
      <c r="N6" s="1"/>
    </row>
    <row r="7" spans="1:14" ht="20.100000000000001" customHeight="1" x14ac:dyDescent="0.25">
      <c r="C7" s="1"/>
      <c r="D7" s="1"/>
      <c r="E7" s="1"/>
      <c r="F7" s="1"/>
      <c r="G7" s="1"/>
      <c r="H7" s="1"/>
      <c r="I7" s="1"/>
      <c r="J7" s="1"/>
      <c r="K7" s="1"/>
      <c r="L7" s="1"/>
      <c r="M7" s="1"/>
      <c r="N7" s="1"/>
    </row>
    <row r="8" spans="1:14" ht="20.100000000000001" customHeight="1" x14ac:dyDescent="0.25">
      <c r="C8" s="1"/>
      <c r="D8" s="1"/>
      <c r="E8" s="1"/>
      <c r="F8" s="1"/>
      <c r="G8" s="1"/>
      <c r="H8" s="1"/>
      <c r="I8" s="1"/>
      <c r="J8" s="1"/>
      <c r="K8" s="1"/>
      <c r="L8" s="1"/>
      <c r="M8" s="1"/>
      <c r="N8" s="1"/>
    </row>
    <row r="9" spans="1:14" ht="20.100000000000001" customHeight="1" x14ac:dyDescent="0.25">
      <c r="A9" s="7" t="s">
        <v>0</v>
      </c>
      <c r="C9" s="1"/>
      <c r="D9" s="1"/>
      <c r="E9" s="1"/>
      <c r="F9" s="1"/>
      <c r="G9" s="1"/>
      <c r="H9" s="1"/>
      <c r="I9" s="1"/>
      <c r="J9" s="1"/>
      <c r="K9" s="1"/>
      <c r="L9" s="1"/>
      <c r="M9" s="1"/>
      <c r="N9" s="1"/>
    </row>
    <row r="10" spans="1:14" ht="20.100000000000001" customHeight="1" x14ac:dyDescent="0.25">
      <c r="A10" s="5" t="str">
        <f>HYPERLINK("#'Input - Enterprise'!A1", "Enterprise")</f>
        <v>Enterprise</v>
      </c>
      <c r="C10" s="1"/>
      <c r="D10" s="1"/>
      <c r="E10" s="1"/>
      <c r="F10" s="1"/>
      <c r="G10" s="1"/>
      <c r="H10" s="1"/>
      <c r="I10" s="1"/>
      <c r="J10" s="1"/>
      <c r="K10" s="1"/>
      <c r="L10" s="1"/>
      <c r="M10" s="1"/>
      <c r="N10" s="1"/>
    </row>
    <row r="11" spans="1:14" ht="20.100000000000001" customHeight="1" x14ac:dyDescent="0.25">
      <c r="A11" s="5" t="str">
        <f>HYPERLINK("#'Input - Site'!A1", "Site")</f>
        <v>Site</v>
      </c>
      <c r="C11" s="1"/>
      <c r="D11" s="1"/>
      <c r="E11" s="1"/>
      <c r="F11" s="1"/>
      <c r="G11" s="1"/>
      <c r="H11" s="1"/>
      <c r="I11" s="1"/>
      <c r="J11" s="1"/>
      <c r="K11" s="1"/>
      <c r="L11" s="1"/>
      <c r="M11" s="1"/>
      <c r="N11" s="1"/>
    </row>
    <row r="12" spans="1:14" ht="20.100000000000001" customHeight="1" x14ac:dyDescent="0.25">
      <c r="A12" s="5" t="str">
        <f>HYPERLINK("#'Input - Dairy'!A1", "Dairy")</f>
        <v>Dairy</v>
      </c>
      <c r="C12" s="1"/>
      <c r="D12" s="1"/>
      <c r="E12" s="1"/>
      <c r="F12" s="1"/>
      <c r="G12" s="1"/>
      <c r="H12" s="1"/>
      <c r="I12" s="1"/>
      <c r="J12" s="1"/>
      <c r="K12" s="1"/>
      <c r="L12" s="1"/>
      <c r="M12" s="1"/>
      <c r="N12" s="1"/>
    </row>
    <row r="13" spans="1:14" ht="20.100000000000001" customHeight="1" x14ac:dyDescent="0.25">
      <c r="A13" s="5" t="str">
        <f>HYPERLINK("#'Input - Livestock sales'!A1", "Livestock sales")</f>
        <v>Livestock sales</v>
      </c>
      <c r="C13" s="1"/>
      <c r="D13" s="1"/>
      <c r="E13" s="1"/>
      <c r="F13" s="1"/>
      <c r="G13" s="1"/>
      <c r="H13" s="1"/>
      <c r="I13" s="1"/>
      <c r="J13" s="1"/>
      <c r="K13" s="1"/>
      <c r="L13" s="1"/>
      <c r="M13" s="1"/>
      <c r="N13" s="1"/>
    </row>
    <row r="14" spans="1:14" ht="20.100000000000001" customHeight="1" x14ac:dyDescent="0.25">
      <c r="A14" s="5" t="str">
        <f>HYPERLINK("#'Input - Dairy cattle purchases'!A1", "Dairy cattle purchases")</f>
        <v>Dairy cattle purchases</v>
      </c>
      <c r="C14" s="1"/>
      <c r="D14" s="1"/>
      <c r="E14" s="1"/>
      <c r="F14" s="1"/>
      <c r="G14" s="1"/>
      <c r="H14" s="1"/>
      <c r="I14" s="1"/>
      <c r="J14" s="1"/>
      <c r="K14" s="1"/>
      <c r="L14" s="1"/>
      <c r="M14" s="1"/>
      <c r="N14" s="1"/>
    </row>
    <row r="15" spans="1:14" ht="20.100000000000001" customHeight="1" x14ac:dyDescent="0.25">
      <c r="A15" s="5" t="str">
        <f>HYPERLINK("#'Input - Pasture'!A1", "Pasture")</f>
        <v>Pasture</v>
      </c>
      <c r="C15" s="1"/>
      <c r="D15" s="1"/>
      <c r="E15" s="1"/>
      <c r="F15" s="1"/>
      <c r="G15" s="1"/>
      <c r="H15" s="1"/>
      <c r="I15" s="1"/>
      <c r="J15" s="1"/>
      <c r="K15" s="1"/>
      <c r="L15" s="1"/>
      <c r="M15" s="1"/>
      <c r="N15" s="1"/>
    </row>
    <row r="16" spans="1:14" ht="20.100000000000001" customHeight="1" x14ac:dyDescent="0.25">
      <c r="A16" s="5" t="str">
        <f>HYPERLINK("#'Input - Fert Prod System'!A1", "Fert Prod System")</f>
        <v>Fert Prod System</v>
      </c>
      <c r="C16" s="1"/>
      <c r="D16" s="1"/>
      <c r="E16" s="1"/>
      <c r="F16" s="1"/>
      <c r="G16" s="1"/>
      <c r="H16" s="1"/>
      <c r="I16" s="1"/>
      <c r="J16" s="1"/>
      <c r="K16" s="1"/>
      <c r="L16" s="1"/>
      <c r="M16" s="1"/>
      <c r="N16" s="1"/>
    </row>
    <row r="17" spans="1:14" ht="20.100000000000001" customHeight="1" x14ac:dyDescent="0.25">
      <c r="A17" s="5" t="str">
        <f>HYPERLINK("#'Input - Fertiliser'!A1", "Fertiliser")</f>
        <v>Fertiliser</v>
      </c>
      <c r="C17" s="1"/>
      <c r="D17" s="1"/>
      <c r="E17" s="1"/>
      <c r="F17" s="1"/>
      <c r="G17" s="1"/>
      <c r="H17" s="1"/>
      <c r="I17" s="1"/>
      <c r="J17" s="1"/>
      <c r="K17" s="1"/>
      <c r="L17" s="1"/>
      <c r="M17" s="1"/>
      <c r="N17" s="1"/>
    </row>
    <row r="18" spans="1:14" ht="20.100000000000001" customHeight="1" x14ac:dyDescent="0.25">
      <c r="A18" s="5" t="str">
        <f>HYPERLINK("#'Input - Fuel'!A1", "Fuel")</f>
        <v>Fuel</v>
      </c>
      <c r="C18" s="1"/>
      <c r="D18" s="1"/>
      <c r="E18" s="1"/>
      <c r="F18" s="1"/>
      <c r="G18" s="1"/>
      <c r="H18" s="1"/>
      <c r="I18" s="1"/>
      <c r="J18" s="1"/>
      <c r="K18" s="1"/>
      <c r="L18" s="1"/>
      <c r="M18" s="1"/>
      <c r="N18" s="1"/>
    </row>
    <row r="19" spans="1:14" ht="20.100000000000001" customHeight="1" x14ac:dyDescent="0.25">
      <c r="A19" s="5" t="str">
        <f>HYPERLINK("#'Input - Electricity'!A1", "Electricity")</f>
        <v>Electricity</v>
      </c>
      <c r="C19" s="1"/>
      <c r="D19" s="1"/>
      <c r="E19" s="1"/>
      <c r="F19" s="1"/>
      <c r="G19" s="1"/>
      <c r="H19" s="1"/>
      <c r="I19" s="1"/>
      <c r="J19" s="1"/>
      <c r="K19" s="1"/>
      <c r="L19" s="1"/>
      <c r="M19" s="1"/>
      <c r="N19" s="1"/>
    </row>
    <row r="20" spans="1:14" ht="20.100000000000001" customHeight="1" x14ac:dyDescent="0.25">
      <c r="A20" s="5" t="str">
        <f>HYPERLINK("#'Input - Common farm inputs'!A1", "Common farm inputs")</f>
        <v>Common farm inputs</v>
      </c>
      <c r="C20" s="1"/>
      <c r="D20" s="1"/>
      <c r="E20" s="1"/>
      <c r="F20" s="1"/>
      <c r="G20" s="1"/>
      <c r="H20" s="1"/>
      <c r="I20" s="1"/>
      <c r="J20" s="1"/>
      <c r="K20" s="1"/>
      <c r="L20" s="1"/>
      <c r="M20" s="1"/>
      <c r="N20" s="1"/>
    </row>
    <row r="21" spans="1:14" ht="20.100000000000001" customHeight="1" x14ac:dyDescent="0.25">
      <c r="A21" s="5" t="str">
        <f>HYPERLINK("#'Input - Crop pasture farm input'!A1", "Crop pasture farm input")</f>
        <v>Crop pasture farm input</v>
      </c>
      <c r="C21" s="1"/>
      <c r="D21" s="1"/>
      <c r="E21" s="1"/>
      <c r="F21" s="1"/>
      <c r="G21" s="1"/>
      <c r="H21" s="1"/>
      <c r="I21" s="1"/>
      <c r="J21" s="1"/>
      <c r="K21" s="1"/>
      <c r="L21" s="1"/>
      <c r="M21" s="1"/>
      <c r="N21" s="1"/>
    </row>
    <row r="22" spans="1:14" ht="20.100000000000001" customHeight="1" x14ac:dyDescent="0.25">
      <c r="A22" s="5" t="str">
        <f>HYPERLINK("#'Input - Livestock farm Inputs'!A1", "Livestock farm Inputs")</f>
        <v>Livestock farm Inputs</v>
      </c>
      <c r="C22" s="1"/>
      <c r="D22" s="1"/>
      <c r="E22" s="1"/>
      <c r="F22" s="1"/>
      <c r="G22" s="1"/>
      <c r="H22" s="1"/>
      <c r="I22" s="1"/>
      <c r="J22" s="1"/>
      <c r="K22" s="1"/>
      <c r="L22" s="1"/>
      <c r="M22" s="1"/>
      <c r="N22" s="1"/>
    </row>
    <row r="23" spans="1:14" ht="20.100000000000001" customHeight="1" x14ac:dyDescent="0.25">
      <c r="A23" s="5" t="str">
        <f>HYPERLINK("#'Input - Freight'!A1", "Freight")</f>
        <v>Freight</v>
      </c>
      <c r="C23" s="1"/>
      <c r="D23" s="1"/>
      <c r="E23" s="1"/>
      <c r="F23" s="1"/>
      <c r="G23" s="1"/>
      <c r="H23" s="1"/>
      <c r="I23" s="1"/>
      <c r="J23" s="1"/>
      <c r="K23" s="1"/>
      <c r="L23" s="1"/>
      <c r="M23" s="1"/>
      <c r="N23" s="1"/>
    </row>
    <row r="24" spans="1:14" ht="20.100000000000001" customHeight="1" x14ac:dyDescent="0.25">
      <c r="A24" s="5" t="str">
        <f>HYPERLINK("#'Input - Solid waste'!A1", "Solid waste")</f>
        <v>Solid waste</v>
      </c>
      <c r="C24" s="1"/>
      <c r="D24" s="1"/>
      <c r="E24" s="1"/>
      <c r="F24" s="1"/>
      <c r="G24" s="1"/>
      <c r="H24" s="1"/>
      <c r="I24" s="1"/>
      <c r="J24" s="1"/>
      <c r="K24" s="1"/>
      <c r="L24" s="1"/>
      <c r="M24" s="1"/>
      <c r="N24" s="1"/>
    </row>
    <row r="25" spans="1:14" ht="20.100000000000001" customHeight="1" x14ac:dyDescent="0.25">
      <c r="A25" s="5" t="str">
        <f>HYPERLINK("#'Input - Manure sent off-site'!A1", "Manure sent off-site")</f>
        <v>Manure sent off-site</v>
      </c>
      <c r="C25" s="1"/>
      <c r="D25" s="1"/>
      <c r="E25" s="1"/>
      <c r="F25" s="1"/>
      <c r="G25" s="1"/>
      <c r="H25" s="1"/>
      <c r="I25" s="1"/>
      <c r="J25" s="1"/>
      <c r="K25" s="1"/>
      <c r="L25" s="1"/>
      <c r="M25" s="1"/>
      <c r="N25" s="1"/>
    </row>
    <row r="26" spans="1:14" ht="20.100000000000001" customHeight="1" x14ac:dyDescent="0.25">
      <c r="A26" s="5" t="str">
        <f>HYPERLINK("#'Input - Data quality'!A1", "Data quality")</f>
        <v>Data quality</v>
      </c>
      <c r="C26" s="1"/>
      <c r="D26" s="1"/>
      <c r="E26" s="1"/>
      <c r="F26" s="1"/>
      <c r="G26" s="1"/>
      <c r="H26" s="1"/>
      <c r="I26" s="1"/>
      <c r="J26" s="1"/>
      <c r="K26" s="1"/>
      <c r="L26" s="1"/>
      <c r="M26" s="1"/>
      <c r="N26" s="1"/>
    </row>
    <row r="27" spans="1:14" ht="20.100000000000001" customHeight="1" x14ac:dyDescent="0.25">
      <c r="C27" s="1"/>
      <c r="D27" s="1"/>
      <c r="E27" s="1"/>
      <c r="F27" s="1"/>
      <c r="G27" s="1"/>
      <c r="H27" s="1"/>
      <c r="I27" s="1"/>
      <c r="J27" s="1"/>
      <c r="K27" s="1"/>
      <c r="L27" s="1"/>
      <c r="M27" s="1"/>
      <c r="N27" s="1"/>
    </row>
    <row r="28" spans="1:14" ht="20.100000000000001" customHeight="1" x14ac:dyDescent="0.25">
      <c r="C28" s="1"/>
      <c r="D28" s="1"/>
      <c r="E28" s="1"/>
      <c r="F28" s="1"/>
      <c r="G28" s="1"/>
      <c r="H28" s="1"/>
      <c r="I28" s="1"/>
      <c r="J28" s="1"/>
      <c r="K28" s="1"/>
      <c r="L28" s="1"/>
      <c r="M28" s="1"/>
      <c r="N28" s="1"/>
    </row>
    <row r="29" spans="1:14" ht="20.100000000000001" customHeight="1" x14ac:dyDescent="0.25">
      <c r="A29" s="6" t="s">
        <v>2</v>
      </c>
      <c r="C29" s="1"/>
      <c r="D29" s="1"/>
      <c r="E29" s="1"/>
      <c r="F29" s="1"/>
      <c r="G29" s="1"/>
      <c r="H29" s="1"/>
      <c r="I29" s="1"/>
      <c r="J29" s="1"/>
      <c r="K29" s="1"/>
      <c r="L29" s="1"/>
      <c r="M29" s="1"/>
      <c r="N29" s="1"/>
    </row>
    <row r="30" spans="1:14" ht="20.100000000000001" customHeight="1" x14ac:dyDescent="0.25">
      <c r="A30" s="5" t="str">
        <f>HYPERLINK("#'3.3.1.1-2 Enteric Methane'!A1", "3.3.1.1-2 Enteric methane")</f>
        <v>3.3.1.1-2 Enteric methane</v>
      </c>
      <c r="C30" s="1"/>
      <c r="D30" s="1"/>
      <c r="E30" s="1"/>
      <c r="F30" s="1"/>
      <c r="G30" s="1"/>
      <c r="H30" s="1"/>
      <c r="I30" s="1"/>
      <c r="J30" s="1"/>
      <c r="K30" s="1"/>
      <c r="L30" s="1"/>
      <c r="M30" s="1"/>
      <c r="N30" s="1"/>
    </row>
    <row r="31" spans="1:14" ht="20.100000000000001" customHeight="1" x14ac:dyDescent="0.25">
      <c r="A31" s="5" t="str">
        <f>HYPERLINK("#'4.3.1.1-2 Methane'!A1", "4.3.1.1-2 Manure methane")</f>
        <v>4.3.1.1-2 Manure methane</v>
      </c>
      <c r="C31" s="1"/>
      <c r="D31" s="1"/>
      <c r="E31" s="1"/>
      <c r="F31" s="1"/>
      <c r="G31" s="1"/>
      <c r="H31" s="1"/>
      <c r="I31" s="1"/>
      <c r="J31" s="1"/>
      <c r="K31" s="1"/>
      <c r="L31" s="1"/>
      <c r="M31" s="1"/>
      <c r="N31" s="1"/>
    </row>
    <row r="32" spans="1:14" ht="20.100000000000001" customHeight="1" x14ac:dyDescent="0.25">
      <c r="A32" s="5" t="str">
        <f>HYPERLINK("#'4.3.1.3-4 Direct N20'!A1", "4.3.1.3-4 Direct N20")</f>
        <v>4.3.1.3-4 Direct N20</v>
      </c>
      <c r="C32" s="1"/>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c r="E32" s="1"/>
      <c r="F32" s="1"/>
      <c r="G32" s="1"/>
      <c r="H32" s="1"/>
      <c r="I32" s="1"/>
      <c r="J32" s="1"/>
      <c r="K32" s="1"/>
      <c r="L32" s="1"/>
      <c r="M32" s="1"/>
      <c r="N32" s="1"/>
    </row>
    <row r="33" spans="1:14" ht="20.100000000000001" customHeight="1" x14ac:dyDescent="0.25">
      <c r="A33" s="5" t="str">
        <f>HYPERLINK("#'4.3.1.5 Atmos deposition'!A1", "4.3.1.5 Atmos deposition")</f>
        <v>4.3.1.5 Atmos deposition</v>
      </c>
      <c r="C33" s="1"/>
      <c r="D33" s="1"/>
      <c r="E33" s="1"/>
      <c r="F33" s="1"/>
      <c r="G33" s="1"/>
      <c r="H33" s="1"/>
      <c r="I33" s="1"/>
      <c r="J33" s="1"/>
      <c r="K33" s="1"/>
      <c r="L33" s="1"/>
      <c r="M33" s="1"/>
      <c r="N33" s="1"/>
    </row>
    <row r="34" spans="1:14" ht="20.100000000000001" customHeight="1" x14ac:dyDescent="0.25">
      <c r="A34" s="5" t="str">
        <f>HYPERLINK("#'4.3.1.6-7 Leaching and runoff'!A1", "4.3.1.6-7 Leaching &amp; runoff")</f>
        <v>4.3.1.6-7 Leaching &amp; runoff</v>
      </c>
      <c r="C34" s="1"/>
      <c r="D34" s="1"/>
      <c r="E34" s="1"/>
      <c r="F34" s="1"/>
      <c r="G34" s="1"/>
      <c r="H34" s="1"/>
      <c r="I34" s="1"/>
      <c r="J34" s="1"/>
      <c r="K34" s="1"/>
      <c r="L34" s="1"/>
      <c r="M34" s="1"/>
      <c r="N34" s="1"/>
    </row>
    <row r="35" spans="1:14" ht="20.100000000000001" customHeight="1" x14ac:dyDescent="0.25">
      <c r="A35" s="5" t="str">
        <f>HYPERLINK("#'4.3.1.8 Manure applied to soils'!A1", "4.3.1.8 Manure applied to soils")</f>
        <v>4.3.1.8 Manure applied to soils</v>
      </c>
      <c r="C35" s="1"/>
      <c r="D35" s="11"/>
      <c r="E35" s="11" t="s">
        <v>129</v>
      </c>
      <c r="F35" s="11" t="s">
        <v>130</v>
      </c>
      <c r="G35" s="11"/>
      <c r="H35" s="1"/>
      <c r="I35" s="1"/>
      <c r="J35" s="1"/>
      <c r="K35" s="1"/>
      <c r="L35" s="1"/>
      <c r="M35" s="1"/>
      <c r="N35" s="1"/>
    </row>
    <row r="36" spans="1:14" ht="20.100000000000001" customHeight="1" x14ac:dyDescent="0.25">
      <c r="A36" s="5" t="str">
        <f>HYPERLINK("#'4.3.1.9 Soil direct N2O'!A1", "4.3.1.9 Soil direct N2O")</f>
        <v>4.3.1.9 Soil direct N2O</v>
      </c>
      <c r="C36" s="1"/>
      <c r="D36" s="76" t="s">
        <v>281</v>
      </c>
      <c r="E36" s="1" t="e">
        <f ca="1">Result_EmissionsForWholeProductionCycle_Gross_Method1</f>
        <v>#N/A</v>
      </c>
      <c r="F36" s="1" t="e">
        <f ca="1">Result_EmissionsForWholeProductionCycle_Gross_Method2</f>
        <v>#N/A</v>
      </c>
      <c r="G36" s="9" t="s">
        <v>6</v>
      </c>
      <c r="H36" s="1"/>
      <c r="I36" s="1"/>
      <c r="J36" s="1"/>
      <c r="K36" s="1"/>
      <c r="L36" s="1"/>
      <c r="M36" s="1"/>
      <c r="N36" s="1"/>
    </row>
    <row r="37" spans="1:14" ht="20.100000000000001" customHeight="1" x14ac:dyDescent="0.25">
      <c r="A37" s="5" t="str">
        <f>HYPERLINK("#'4.3.1.10-11 Soil Atmos Dep'!A1", "4.3.1.10-11 Soil Atmos Deposition")</f>
        <v>4.3.1.10-11 Soil Atmos Deposition</v>
      </c>
      <c r="C37" s="1"/>
      <c r="D37" s="76" t="s">
        <v>282</v>
      </c>
      <c r="E37" s="1" t="e">
        <f ca="1">Result_EmissionsForWholeProductionCycle_Net_Method1</f>
        <v>#N/A</v>
      </c>
      <c r="F37" s="1" t="e">
        <f ca="1">Result_EmissionsForWholeProductionCycle_Net_Method2</f>
        <v>#N/A</v>
      </c>
      <c r="G37" s="9" t="s">
        <v>6</v>
      </c>
      <c r="H37" s="1"/>
      <c r="I37" s="1"/>
      <c r="J37" s="1"/>
      <c r="K37" s="1"/>
      <c r="L37" s="1"/>
      <c r="M37" s="1"/>
      <c r="N37" s="1"/>
    </row>
    <row r="38" spans="1:14" ht="20.100000000000001" customHeight="1" x14ac:dyDescent="0.25">
      <c r="A38" s="5" t="str">
        <f>HYPERLINK("#'4.3.1.12-13 Soil leach runoff'!A1", "4.3.1.12-13 Soil leach &amp; runoff")</f>
        <v>4.3.1.12-13 Soil leach &amp; runoff</v>
      </c>
      <c r="C38" s="1"/>
      <c r="D38" s="1"/>
      <c r="E38" s="1"/>
      <c r="F38" s="1"/>
      <c r="G38" s="1"/>
      <c r="H38" s="1"/>
      <c r="I38" s="1"/>
      <c r="J38" s="1"/>
      <c r="K38" s="1"/>
      <c r="L38" s="1"/>
      <c r="M38" s="1"/>
      <c r="N38" s="1"/>
    </row>
    <row r="39" spans="1:14" ht="20.100000000000001" customHeight="1" x14ac:dyDescent="0.25">
      <c r="A39" s="5" t="str">
        <f>HYPERLINK("#'5.1.1.1-2 Inorganic fert N2O'!A1", "5.1.1.1-2 Inorganic fert N2O")</f>
        <v>5.1.1.1-2 Inorganic fert N2O</v>
      </c>
      <c r="C39" s="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c r="E39" s="1"/>
      <c r="F39" s="1"/>
      <c r="G39" s="1"/>
      <c r="H39" s="1"/>
      <c r="I39" s="1"/>
      <c r="J39" s="1"/>
      <c r="K39" s="1"/>
      <c r="L39" s="1"/>
      <c r="M39" s="1"/>
      <c r="N39" s="1"/>
    </row>
    <row r="40" spans="1:14" ht="20.100000000000001" customHeight="1" x14ac:dyDescent="0.25">
      <c r="A40" s="5" t="str">
        <f>HYPERLINK("#'5.1.1.3-4 Inorganic fert CO2'!A1", "5.1.1.3-4 Inorganic fert CO2")</f>
        <v>5.1.1.3-4 Inorganic fert CO2</v>
      </c>
      <c r="C40" s="1"/>
      <c r="D40" s="1"/>
      <c r="E40" s="1"/>
      <c r="F40" s="1"/>
      <c r="G40" s="1"/>
      <c r="H40" s="1"/>
      <c r="I40" s="1"/>
      <c r="J40" s="1"/>
      <c r="K40" s="1"/>
      <c r="L40" s="1"/>
      <c r="M40" s="1"/>
      <c r="N40" s="1"/>
    </row>
    <row r="41" spans="1:14" ht="20.100000000000001" customHeight="1" x14ac:dyDescent="0.25">
      <c r="A41" s="5" t="str">
        <f>HYPERLINK("#'5.2.1.1-2 Organic Fert N2O'!A1", "5.2.1.1-2 Organic fert N2O")</f>
        <v>5.2.1.1-2 Organic fert N2O</v>
      </c>
      <c r="C41" s="1"/>
      <c r="D41" s="1"/>
      <c r="E41" s="1"/>
      <c r="F41" s="1"/>
      <c r="G41" s="1"/>
      <c r="H41" s="1"/>
      <c r="I41" s="1"/>
      <c r="J41" s="1"/>
      <c r="K41" s="1"/>
      <c r="L41" s="1"/>
      <c r="M41" s="1"/>
      <c r="N41" s="1"/>
    </row>
    <row r="42" spans="1:14" ht="20.100000000000001" customHeight="1" x14ac:dyDescent="0.25">
      <c r="A42" s="5" t="str">
        <f>HYPERLINK("#'5.3.1.1-2 Lime CO2'!A1", "5.3.1.1-2 Lime CO2")</f>
        <v>5.3.1.1-2 Lime CO2</v>
      </c>
      <c r="C42" s="1"/>
      <c r="D42" s="78" t="s">
        <v>152</v>
      </c>
      <c r="E42" s="1"/>
      <c r="F42" s="1"/>
      <c r="G42" s="1"/>
      <c r="H42" s="1"/>
      <c r="I42" s="1"/>
      <c r="J42" s="1"/>
      <c r="K42" s="1"/>
      <c r="L42" s="1"/>
      <c r="M42" s="1"/>
      <c r="N42" s="1"/>
    </row>
    <row r="43" spans="1:14" ht="20.100000000000001" customHeight="1" x14ac:dyDescent="0.25">
      <c r="A43" s="5" t="str">
        <f>HYPERLINK("#'5.4.1.1-4 Atmos deposition'!A1", "5.4.1.1-4 Atmos. deposition")</f>
        <v>5.4.1.1-4 Atmos. deposition</v>
      </c>
      <c r="C43" s="1"/>
      <c r="D43" s="11" t="s">
        <v>131</v>
      </c>
      <c r="E43" s="11" t="s">
        <v>122</v>
      </c>
      <c r="F43" s="11" t="s">
        <v>117</v>
      </c>
      <c r="G43" s="11" t="s">
        <v>154</v>
      </c>
      <c r="H43" s="11" t="s">
        <v>120</v>
      </c>
      <c r="I43" s="11" t="s">
        <v>121</v>
      </c>
      <c r="J43" s="11" t="s">
        <v>118</v>
      </c>
      <c r="K43" s="1"/>
      <c r="L43" s="1"/>
      <c r="M43" s="1"/>
      <c r="N43" s="1"/>
    </row>
    <row r="44" spans="1:14" ht="20.100000000000001" customHeight="1" x14ac:dyDescent="0.25">
      <c r="A44" s="5" t="str">
        <f>HYPERLINK("#'5.5.1.1-2 Leaching and runoff'!A1", "5.5.1.1-2 Leaching &amp; runoff")</f>
        <v>5.5.1.1-2 Leaching &amp; runoff</v>
      </c>
      <c r="C44" s="1"/>
      <c r="D44" s="1" t="s">
        <v>186</v>
      </c>
      <c r="E44" s="1" t="s">
        <v>123</v>
      </c>
      <c r="F44" s="1">
        <f>X_Cell_Enterprise_MilkProduced*(IF(X_Cell_Enterprise_MilkProducedUnit="Litres of milk", 1.03, 1))*10^-3</f>
        <v>7.7445700000000004</v>
      </c>
      <c r="G44" s="1">
        <f>F44/(F44+F46+F48)</f>
        <v>0.56346397159023531</v>
      </c>
      <c r="H44" s="1" t="e">
        <f ca="1">(E36/F44)*G44</f>
        <v>#N/A</v>
      </c>
      <c r="I44" s="1" t="e">
        <f ca="1">(F36/F44)*G44</f>
        <v>#N/A</v>
      </c>
      <c r="J44" s="9" t="s">
        <v>289</v>
      </c>
      <c r="K44" s="1"/>
      <c r="L44" s="1"/>
      <c r="M44" s="1"/>
      <c r="N44" s="1"/>
    </row>
    <row r="45" spans="1:14" ht="20.100000000000001" customHeight="1" x14ac:dyDescent="0.25">
      <c r="A45" s="5" t="str">
        <f>HYPERLINK("#'6.2.1.1-2 Pasture residue N2O'!A1", "6.2.1.1-2 Pasture residue N2O")</f>
        <v>6.2.1.1-2 Pasture residue N2O</v>
      </c>
      <c r="C45" s="1"/>
      <c r="D45" s="1" t="s">
        <v>187</v>
      </c>
      <c r="E45" s="1" t="s">
        <v>123</v>
      </c>
      <c r="F45" s="1">
        <f>F44</f>
        <v>7.7445700000000004</v>
      </c>
      <c r="G45" s="1">
        <f>G44</f>
        <v>0.56346397159023531</v>
      </c>
      <c r="H45" s="1" t="e">
        <f ca="1">(E37/F45)*G45</f>
        <v>#N/A</v>
      </c>
      <c r="I45" s="1" t="e">
        <f ca="1">(F37/F45)*G45</f>
        <v>#N/A</v>
      </c>
      <c r="J45" s="9" t="s">
        <v>289</v>
      </c>
      <c r="K45" s="1"/>
      <c r="L45" s="1"/>
      <c r="M45" s="1"/>
      <c r="N45" s="1"/>
    </row>
    <row r="46" spans="1:14" ht="20.100000000000001" customHeight="1" x14ac:dyDescent="0.25">
      <c r="A46" s="5" t="str">
        <f>HYPERLINK("#'6.3.1.1-2 Leach runoff pasture'!A1", "6.3.1.1-2 Leach &amp; runoff (pasture)")</f>
        <v>6.3.1.1-2 Leach &amp; runoff (pasture)</v>
      </c>
      <c r="C46" s="1"/>
      <c r="D46" s="1" t="s">
        <v>156</v>
      </c>
      <c r="E46" s="1" t="s">
        <v>124</v>
      </c>
      <c r="F46" s="1">
        <f>X_Cell_Enterprise_LiveweightSold</f>
        <v>5</v>
      </c>
      <c r="G46" s="1">
        <f>F46/(F44+F46+F48)</f>
        <v>0.36378002367480394</v>
      </c>
      <c r="H46" s="1" t="e">
        <f ca="1">(E36/F46)*G46</f>
        <v>#N/A</v>
      </c>
      <c r="I46" s="1" t="e">
        <f ca="1">(F36/F46)*G46</f>
        <v>#N/A</v>
      </c>
      <c r="J46" s="9" t="s">
        <v>119</v>
      </c>
      <c r="K46" s="1"/>
      <c r="L46" s="1"/>
      <c r="M46" s="1"/>
      <c r="N46" s="1"/>
    </row>
    <row r="47" spans="1:14" ht="20.100000000000001" customHeight="1" x14ac:dyDescent="0.25">
      <c r="A47" s="5" t="str">
        <f>HYPERLINK("#'8.1.1.1-2 Transport fuel'!A1", "8.1.1.1-2 Transport fuel")</f>
        <v>8.1.1.1-2 Transport fuel</v>
      </c>
      <c r="C47" s="1"/>
      <c r="D47" s="1" t="s">
        <v>157</v>
      </c>
      <c r="E47" s="1" t="s">
        <v>124</v>
      </c>
      <c r="F47" s="1">
        <f>F46</f>
        <v>5</v>
      </c>
      <c r="G47" s="1">
        <f>G46</f>
        <v>0.36378002367480394</v>
      </c>
      <c r="H47" s="96" t="e">
        <f ca="1">(E37/F47)*G47</f>
        <v>#N/A</v>
      </c>
      <c r="I47" s="96" t="e">
        <f ca="1">(F37/F47)*G47</f>
        <v>#N/A</v>
      </c>
      <c r="J47" s="9" t="s">
        <v>119</v>
      </c>
      <c r="K47" s="1"/>
      <c r="L47" s="1"/>
      <c r="M47" s="1"/>
      <c r="N47" s="1"/>
    </row>
    <row r="48" spans="1:14" ht="20.100000000000001" customHeight="1" x14ac:dyDescent="0.25">
      <c r="A48" s="5" t="str">
        <f>HYPERLINK("#'8.2.1.1-2 Stationary fuel'!A1", "8.2.1.1-2 Stationary fuel")</f>
        <v>8.2.1.1-2 Stationary fuel</v>
      </c>
      <c r="C48" s="1"/>
      <c r="D48" s="1" t="s">
        <v>158</v>
      </c>
      <c r="E48" s="1" t="s">
        <v>124</v>
      </c>
      <c r="F48" s="1">
        <f>X_Cell_Enterprise_ManureSoldTonnes</f>
        <v>1</v>
      </c>
      <c r="G48" s="1">
        <f>F48/(F44+F46+F48)</f>
        <v>7.2756004734960786E-2</v>
      </c>
      <c r="H48" s="1" t="e">
        <f ca="1">(E36/F48)*G48</f>
        <v>#N/A</v>
      </c>
      <c r="I48" s="1" t="e">
        <f ca="1">(F36/F48)*G48</f>
        <v>#N/A</v>
      </c>
      <c r="J48" s="9" t="s">
        <v>290</v>
      </c>
      <c r="K48" s="1"/>
      <c r="L48" s="1"/>
      <c r="M48" s="1"/>
      <c r="N48" s="1"/>
    </row>
    <row r="49" spans="1:14" ht="20.100000000000001" customHeight="1" x14ac:dyDescent="0.25">
      <c r="A49" s="5" t="str">
        <f>HYPERLINK("#'10.1.1-2 Solid waste treatment'!A1", "10.1.1.1-2 Solid waste")</f>
        <v>10.1.1.1-2 Solid waste</v>
      </c>
      <c r="C49" s="1"/>
      <c r="D49" s="1" t="s">
        <v>159</v>
      </c>
      <c r="E49" s="1" t="s">
        <v>124</v>
      </c>
      <c r="F49" s="1">
        <f>F48</f>
        <v>1</v>
      </c>
      <c r="G49" s="1">
        <f>G48</f>
        <v>7.2756004734960786E-2</v>
      </c>
      <c r="H49" s="1" t="e">
        <f ca="1">(E37/F49)*G49</f>
        <v>#N/A</v>
      </c>
      <c r="I49" s="1" t="e">
        <f ca="1">(F37/F49)*G49</f>
        <v>#N/A</v>
      </c>
      <c r="J49" s="9" t="s">
        <v>290</v>
      </c>
      <c r="K49" s="1"/>
      <c r="L49" s="1"/>
      <c r="M49" s="1"/>
      <c r="N49" s="1"/>
    </row>
    <row r="50" spans="1:14" ht="20.100000000000001" customHeight="1" x14ac:dyDescent="0.25">
      <c r="A50" s="5" t="str">
        <f>HYPERLINK("#'14.1.1-2 Purchased electricity'!A1", "14.1.1-2 Purchased electricity")</f>
        <v>14.1.1-2 Purchased electricity</v>
      </c>
      <c r="C50" s="1"/>
      <c r="D50" s="1" t="s">
        <v>244</v>
      </c>
      <c r="E50" s="1" t="s">
        <v>284</v>
      </c>
      <c r="F50" s="1">
        <f>X_Cell_Enterprise_ManureUsedAsFertiliserTonnes</f>
        <v>1</v>
      </c>
      <c r="G50" s="1" t="s">
        <v>285</v>
      </c>
      <c r="H50" s="1" t="s">
        <v>285</v>
      </c>
      <c r="I50" s="1" t="s">
        <v>285</v>
      </c>
      <c r="J50" s="9"/>
      <c r="K50" s="1"/>
      <c r="L50" s="1"/>
      <c r="M50" s="1"/>
      <c r="N50" s="1"/>
    </row>
    <row r="51" spans="1:14" ht="20.100000000000001" customHeight="1" x14ac:dyDescent="0.25">
      <c r="A51" s="5" t="str">
        <f>HYPERLINK("#'15 Scope 3'!A1", "15 Scope 3")</f>
        <v>15 Scope 3</v>
      </c>
      <c r="C51" s="1"/>
      <c r="D51" s="1"/>
      <c r="E51" s="1"/>
      <c r="F51" s="1"/>
      <c r="G51" s="1"/>
      <c r="H51" s="1"/>
      <c r="I51" s="1"/>
      <c r="J51" s="1"/>
      <c r="K51" s="1"/>
      <c r="L51" s="1"/>
      <c r="M51" s="1"/>
      <c r="N51" s="1"/>
    </row>
    <row r="52" spans="1:14" ht="20.100000000000001" customHeight="1" x14ac:dyDescent="0.25">
      <c r="A52" s="5" t="str">
        <f>HYPERLINK("#'Calcs - Manure sent off-site'!A1", "Calcs - Manure sent off-site")</f>
        <v>Calcs - Manure sent off-site</v>
      </c>
      <c r="C52" s="1"/>
      <c r="D52" s="78" t="s">
        <v>153</v>
      </c>
      <c r="E52" s="1"/>
      <c r="F52" s="1"/>
      <c r="G52" s="1"/>
      <c r="H52" s="1"/>
      <c r="I52" s="1"/>
      <c r="J52" s="1"/>
      <c r="K52" s="1"/>
      <c r="L52" s="1"/>
      <c r="M52" s="1"/>
      <c r="N52" s="1"/>
    </row>
    <row r="53" spans="1:14" ht="20.100000000000001" customHeight="1" x14ac:dyDescent="0.25">
      <c r="C53" s="1"/>
      <c r="D53" s="11" t="s">
        <v>131</v>
      </c>
      <c r="E53" s="11" t="s">
        <v>122</v>
      </c>
      <c r="F53" s="11" t="s">
        <v>117</v>
      </c>
      <c r="G53" s="11" t="s">
        <v>155</v>
      </c>
      <c r="H53" s="11" t="s">
        <v>287</v>
      </c>
      <c r="I53" s="11" t="s">
        <v>288</v>
      </c>
      <c r="J53" s="11" t="s">
        <v>118</v>
      </c>
      <c r="K53" s="1"/>
      <c r="L53" s="1"/>
      <c r="M53" s="1"/>
      <c r="N53" s="1"/>
    </row>
    <row r="54" spans="1:14" ht="20.100000000000001" customHeight="1" x14ac:dyDescent="0.25">
      <c r="C54" s="1"/>
      <c r="D54" s="1" t="s">
        <v>186</v>
      </c>
      <c r="E54" s="1" t="s">
        <v>123</v>
      </c>
      <c r="F54" s="1">
        <f>X_Cell_Enterprise_MilkProduced*(IF(X_Cell_Enterprise_MilkProducedUnit="Litres", 1.03, 1))*10^-3</f>
        <v>7.5190000000000001</v>
      </c>
      <c r="G54" s="1">
        <f>X_Cell_Enterprise_PercentIncomeFromMilk</f>
        <v>0.8</v>
      </c>
      <c r="H54" s="1" t="e">
        <f ca="1">E36*G54/F54</f>
        <v>#N/A</v>
      </c>
      <c r="I54" s="1" t="e">
        <f ca="1">F36*G54/F54</f>
        <v>#N/A</v>
      </c>
      <c r="J54" s="9" t="s">
        <v>283</v>
      </c>
      <c r="K54" s="1"/>
      <c r="L54" s="1"/>
      <c r="M54" s="1"/>
      <c r="N54" s="1"/>
    </row>
    <row r="55" spans="1:14" ht="20.100000000000001" customHeight="1" x14ac:dyDescent="0.25">
      <c r="A55" s="83" t="s">
        <v>1</v>
      </c>
      <c r="C55" s="1"/>
      <c r="D55" s="1" t="s">
        <v>187</v>
      </c>
      <c r="E55" s="1" t="s">
        <v>123</v>
      </c>
      <c r="F55" s="1">
        <f>F54</f>
        <v>7.5190000000000001</v>
      </c>
      <c r="G55" s="1">
        <f>G54</f>
        <v>0.8</v>
      </c>
      <c r="H55" s="1" t="e">
        <f ca="1">E37*G55/F55</f>
        <v>#N/A</v>
      </c>
      <c r="I55" s="1" t="e">
        <f ca="1">F37*G55/F55</f>
        <v>#N/A</v>
      </c>
      <c r="J55" s="9" t="s">
        <v>283</v>
      </c>
      <c r="K55" s="1"/>
      <c r="L55" s="1"/>
      <c r="M55" s="1"/>
      <c r="N55" s="1"/>
    </row>
    <row r="56" spans="1:14" ht="20.100000000000001" customHeight="1" x14ac:dyDescent="0.25">
      <c r="A56" s="5" t="str">
        <f>HYPERLINK("#'Constants - Dairy'!A1", "Constants - Dairy")</f>
        <v>Constants - Dairy</v>
      </c>
      <c r="C56" s="1"/>
      <c r="D56" s="1" t="s">
        <v>156</v>
      </c>
      <c r="E56" s="1" t="s">
        <v>124</v>
      </c>
      <c r="F56" s="1">
        <f>X_Cell_Enterprise_LiveweightSold</f>
        <v>5</v>
      </c>
      <c r="G56" s="1">
        <f>X_Cell_Enterprise_PercentIncomeFromLiveweight</f>
        <v>0.15</v>
      </c>
      <c r="H56" s="1" t="e">
        <f ca="1">E36*G56/F56</f>
        <v>#N/A</v>
      </c>
      <c r="I56" s="1" t="e">
        <f ca="1">F36*G56/F56</f>
        <v>#N/A</v>
      </c>
      <c r="J56" s="9"/>
      <c r="K56" s="1"/>
      <c r="L56" s="1"/>
      <c r="M56" s="1"/>
      <c r="N56" s="1"/>
    </row>
    <row r="57" spans="1:14" ht="20.100000000000001" customHeight="1" x14ac:dyDescent="0.25">
      <c r="A57" s="5" t="str">
        <f>HYPERLINK("#'Constants - Ag Residue'!A1", "Constants - Ag residue")</f>
        <v>Constants - Ag residue</v>
      </c>
      <c r="C57" s="1"/>
      <c r="D57" s="1" t="s">
        <v>157</v>
      </c>
      <c r="E57" s="1" t="s">
        <v>124</v>
      </c>
      <c r="F57" s="1">
        <f>F56</f>
        <v>5</v>
      </c>
      <c r="G57" s="1">
        <f>G56</f>
        <v>0.15</v>
      </c>
      <c r="H57" s="1" t="e">
        <f ca="1">E37*G57/F57</f>
        <v>#N/A</v>
      </c>
      <c r="I57" s="1" t="e">
        <f ca="1">F37*G57/F57</f>
        <v>#N/A</v>
      </c>
      <c r="J57" s="9" t="s">
        <v>286</v>
      </c>
      <c r="K57" s="1"/>
      <c r="L57" s="1"/>
      <c r="M57" s="1"/>
      <c r="N57" s="1"/>
    </row>
    <row r="58" spans="1:14" ht="20.100000000000001" customHeight="1" x14ac:dyDescent="0.25">
      <c r="A58" s="5" t="str">
        <f>HYPERLINK("#'Constants - Common Livestock'!A1", "Constants - Common Livestock")</f>
        <v>Constants - Common Livestock</v>
      </c>
      <c r="C58" s="1"/>
      <c r="D58" s="1" t="s">
        <v>158</v>
      </c>
      <c r="E58" s="1" t="s">
        <v>124</v>
      </c>
      <c r="F58" s="1">
        <f>X_Cell_Enterprise_ManureSoldTonnes</f>
        <v>1</v>
      </c>
      <c r="G58" s="1">
        <f>X_Cell_Enterprise_PercentIncomeFromManure</f>
        <v>0.05</v>
      </c>
      <c r="H58" s="1" t="e">
        <f ca="1">E36*G58/F58</f>
        <v>#N/A</v>
      </c>
      <c r="I58" s="1" t="e">
        <f ca="1">F36*G58/F58</f>
        <v>#N/A</v>
      </c>
      <c r="J58" s="9" t="s">
        <v>286</v>
      </c>
      <c r="K58" s="1"/>
      <c r="L58" s="1"/>
      <c r="M58" s="1"/>
      <c r="N58" s="1"/>
    </row>
    <row r="59" spans="1:14" ht="20.100000000000001" customHeight="1" x14ac:dyDescent="0.25">
      <c r="A59" s="5" t="str">
        <f>HYPERLINK("#'Constants - Electricity'!A1", "Constants - Electricity")</f>
        <v>Constants - Electricity</v>
      </c>
      <c r="C59" s="1"/>
      <c r="D59" s="1" t="s">
        <v>159</v>
      </c>
      <c r="E59" s="1" t="s">
        <v>124</v>
      </c>
      <c r="F59" s="1">
        <f>F58</f>
        <v>1</v>
      </c>
      <c r="G59" s="1">
        <f>G58</f>
        <v>0.05</v>
      </c>
      <c r="H59" s="1" t="e">
        <f ca="1">E37*G59/F59</f>
        <v>#N/A</v>
      </c>
      <c r="I59" s="1" t="e">
        <f ca="1">F37*G59/F59</f>
        <v>#N/A</v>
      </c>
      <c r="J59" s="9"/>
      <c r="K59" s="1"/>
      <c r="L59" s="1"/>
      <c r="M59" s="1"/>
      <c r="N59" s="1"/>
    </row>
    <row r="60" spans="1:14" ht="20.100000000000001" customHeight="1" x14ac:dyDescent="0.25">
      <c r="A60" s="5" t="str">
        <f>HYPERLINK("#'Constants - Fertiliser'!A1", "Constants - Fertiliser")</f>
        <v>Constants - Fertiliser</v>
      </c>
      <c r="C60" s="1"/>
      <c r="D60" s="1" t="s">
        <v>244</v>
      </c>
      <c r="E60" s="1" t="s">
        <v>284</v>
      </c>
      <c r="F60" s="1">
        <f>X_Cell_Enterprise_ManureUsedAsFertiliserTonnes</f>
        <v>1</v>
      </c>
      <c r="G60" s="1" t="s">
        <v>285</v>
      </c>
      <c r="H60" s="1" t="s">
        <v>285</v>
      </c>
      <c r="I60" s="1" t="s">
        <v>285</v>
      </c>
      <c r="J60" s="1"/>
      <c r="K60" s="1"/>
      <c r="L60" s="1"/>
      <c r="M60" s="1"/>
      <c r="N60" s="1"/>
    </row>
    <row r="61" spans="1:14" ht="20.100000000000001" customHeight="1" x14ac:dyDescent="0.25">
      <c r="A61" s="5" t="str">
        <f>HYPERLINK("#'Constants - Fuel'!A1", "Constants - Fuel")</f>
        <v>Constants - Fuel</v>
      </c>
      <c r="C61" s="1"/>
      <c r="D61" s="1"/>
      <c r="E61" s="1"/>
      <c r="F61" s="1"/>
      <c r="G61" s="1"/>
      <c r="H61" s="1"/>
      <c r="I61" s="1"/>
      <c r="J61" s="1"/>
      <c r="K61" s="1"/>
      <c r="L61" s="1"/>
      <c r="M61" s="1"/>
      <c r="N61" s="1"/>
    </row>
    <row r="62" spans="1:14" ht="20.100000000000001" customHeight="1" x14ac:dyDescent="0.25">
      <c r="A62" s="5" t="str">
        <f>HYPERLINK("#'Constants - Scope 3'!A1", "Constants - Scope 3")</f>
        <v>Constants - Scope 3</v>
      </c>
      <c r="C62" s="1"/>
      <c r="D62" s="1"/>
      <c r="E62" s="1"/>
      <c r="F62" s="1"/>
      <c r="G62" s="1"/>
      <c r="H62" s="1"/>
      <c r="I62" s="1"/>
      <c r="J62" s="1"/>
      <c r="K62" s="1"/>
      <c r="L62" s="1"/>
      <c r="M62" s="1"/>
      <c r="N62" s="1"/>
    </row>
    <row r="63" spans="1:14" ht="20.100000000000001" customHeight="1" x14ac:dyDescent="0.25">
      <c r="A63" s="5" t="str">
        <f>HYPERLINK("#'Constants - Common'!A1", "Constants - Common")</f>
        <v>Constants - Common</v>
      </c>
      <c r="C63" s="1"/>
      <c r="D63" s="1"/>
      <c r="E63" s="1"/>
      <c r="F63" s="1"/>
      <c r="G63" s="1"/>
      <c r="H63" s="1"/>
      <c r="I63" s="1"/>
      <c r="J63" s="1"/>
      <c r="K63" s="1"/>
      <c r="L63" s="1"/>
      <c r="M63" s="1"/>
      <c r="N63" s="1"/>
    </row>
    <row r="64" spans="1:14" ht="20.100000000000001" customHeight="1" x14ac:dyDescent="0.25">
      <c r="A64" s="5" t="str">
        <f>HYPERLINK("#'Constants - Solid Waste'!A1", "Constants - Solid Waste")</f>
        <v>Constants - Solid Waste</v>
      </c>
      <c r="C64" s="1"/>
      <c r="D64" s="1"/>
      <c r="E64" s="1"/>
      <c r="F64" s="1"/>
      <c r="G64" s="1"/>
      <c r="H64" s="1"/>
      <c r="I64" s="1"/>
      <c r="J64" s="1"/>
      <c r="K64" s="1"/>
      <c r="L64" s="1"/>
      <c r="M64" s="1"/>
      <c r="N64" s="1"/>
    </row>
    <row r="65" spans="1:14" ht="20.100000000000001" customHeight="1" x14ac:dyDescent="0.25">
      <c r="A65" s="5" t="str">
        <f>HYPERLINK("#'Acknowledgements'!A1", "Acknowledgements")</f>
        <v>Acknowledgements</v>
      </c>
      <c r="C65" s="1"/>
      <c r="D65" s="1"/>
      <c r="E65" s="1"/>
      <c r="F65" s="1"/>
      <c r="G65" s="1"/>
      <c r="H65" s="1"/>
      <c r="I65" s="1"/>
      <c r="J65" s="1"/>
      <c r="K65" s="1"/>
      <c r="L65" s="1"/>
      <c r="M65" s="1"/>
      <c r="N65" s="1"/>
    </row>
    <row r="66" spans="1:14" ht="20.100000000000001" customHeight="1" x14ac:dyDescent="0.25">
      <c r="C66" s="1"/>
      <c r="D66" s="1"/>
      <c r="E66" s="1"/>
      <c r="F66" s="1"/>
      <c r="G66" s="1"/>
      <c r="H66" s="1"/>
      <c r="I66" s="1"/>
      <c r="J66" s="1"/>
      <c r="K66" s="1"/>
      <c r="L66" s="1"/>
      <c r="M66" s="1"/>
      <c r="N66" s="1"/>
    </row>
    <row r="67" spans="1:14" ht="20.100000000000001" customHeight="1" x14ac:dyDescent="0.25">
      <c r="C67" s="1"/>
      <c r="D67" s="1"/>
      <c r="E67" s="1"/>
      <c r="F67" s="1"/>
      <c r="G67" s="1"/>
      <c r="H67" s="1"/>
      <c r="I67" s="1"/>
      <c r="J67" s="1"/>
      <c r="K67" s="1"/>
      <c r="L67" s="1"/>
      <c r="M67" s="1"/>
      <c r="N67" s="1"/>
    </row>
    <row r="68" spans="1:14" ht="20.100000000000001" customHeight="1" x14ac:dyDescent="0.25">
      <c r="C68" s="1"/>
      <c r="K68" s="1"/>
      <c r="L68" s="1"/>
      <c r="M68" s="1"/>
      <c r="N68" s="1"/>
    </row>
    <row r="69" spans="1:14" ht="20.100000000000001" customHeight="1" x14ac:dyDescent="0.25"/>
    <row r="70" spans="1:14" ht="20.100000000000001" customHeight="1" x14ac:dyDescent="0.25"/>
    <row r="71" spans="1:14" ht="20.100000000000001" customHeight="1" x14ac:dyDescent="0.25"/>
    <row r="72" spans="1:14" ht="20.100000000000001" customHeigh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1"/>
  <sheetViews>
    <sheetView showGridLines="0" workbookViewId="0" zoomScale="100" zoomScaleNormal="100">
      <pane xSplit="1" topLeftCell="B1" activePane="topRight" state="frozenSplit"/>
      <selection pane="topRight" activeCell="A64" sqref="A64"/>
      <extLst>
        <ext xmlns:xlsdti="http://schemas.microsoft.com/office/spreadsheetml/2023/showDataTypeIcons" uri="{77bfe23e-c014-4d31-8a63-9c772dbf06b6}">
          <xlsdti:showDataTypeIcons visible="0"/>
        </ext>
      </extLst>
    </sheetView>
  </sheetViews>
  <sheetFormatPr defaultRowHeight="15.75" x14ac:dyDescent="0.25"/>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0" t="e" vm="1">
        <v>#VALUE!</v>
      </c>
      <c r="C1" s="27" t="s">
        <v>148</v>
      </c>
      <c r="D1" s="21"/>
      <c r="E1" s="21"/>
      <c r="F1" s="21"/>
      <c r="G1" s="21"/>
      <c r="H1" s="21"/>
      <c r="I1" s="21"/>
      <c r="J1" s="21"/>
    </row>
    <row r="2" spans="1:10" x14ac:dyDescent="0.25">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ht="23.25" x14ac:dyDescent="0.25">
      <c r="A5" s="5" t="str">
        <f>HYPERLINK("#'Results - Product EI'!A1", "Results - Product Emissions Intensity")</f>
        <v>Results - Product Emissions Intensity</v>
      </c>
      <c r="D5" s="2" t="s">
        <v>87</v>
      </c>
      <c r="E5" s="24"/>
      <c r="F5" s="24"/>
      <c r="G5" s="24"/>
    </row>
    <row r="6" spans="1:10" x14ac:dyDescent="0.25">
      <c r="A6" s="5" t="str">
        <f>HYPERLINK("#'Results'!A1", "Results")</f>
        <v>Results</v>
      </c>
      <c r="D6" s="31"/>
      <c r="E6" s="24"/>
      <c r="F6" s="24"/>
      <c r="G6" s="24"/>
    </row>
    <row r="7" spans="1:10" x14ac:dyDescent="0.25">
      <c r="D7" s="1" t="s">
        <v>88</v>
      </c>
      <c r="E7" s="33" t="s">
        <v>89</v>
      </c>
      <c r="F7" s="16"/>
      <c r="G7" s="24"/>
    </row>
    <row r="8" spans="1:10" x14ac:dyDescent="0.25">
      <c r="D8" s="12" t="s">
        <v>90</v>
      </c>
      <c r="E8" s="33" t="s">
        <v>91</v>
      </c>
      <c r="F8" s="24"/>
      <c r="G8" s="24"/>
    </row>
    <row r="9" spans="1:10" x14ac:dyDescent="0.25">
      <c r="A9" s="7" t="s">
        <v>0</v>
      </c>
      <c r="D9" s="24"/>
      <c r="E9" s="24"/>
      <c r="F9" s="24"/>
      <c r="G9" s="24"/>
    </row>
    <row r="10" spans="1:10" x14ac:dyDescent="0.25">
      <c r="A10" s="99" t="str">
        <f>HYPERLINK("#'Input - Enterprise'!A1", "Enterprise")</f>
        <v>Enterprise</v>
      </c>
      <c r="D10" s="35" t="s">
        <v>92</v>
      </c>
      <c r="E10" s="36"/>
      <c r="F10" s="37"/>
      <c r="G10" s="38"/>
    </row>
    <row r="11" spans="1:10" x14ac:dyDescent="0.25">
      <c r="A11" s="5" t="str">
        <f>HYPERLINK("#'Input - Site'!A1", "Site")</f>
        <v>Site</v>
      </c>
      <c r="D11" s="24"/>
      <c r="E11" s="24"/>
      <c r="F11" s="24"/>
      <c r="G11" s="24"/>
    </row>
    <row r="12" spans="1:10" x14ac:dyDescent="0.25">
      <c r="A12" s="5" t="str">
        <f>HYPERLINK("#'Input - Dairy'!A1", "Dairy")</f>
        <v>Dairy</v>
      </c>
      <c r="D12" s="12" t="s">
        <v>15</v>
      </c>
      <c r="E12" s="14">
        <v>45292</v>
      </c>
      <c r="F12" s="16" t="s">
        <v>93</v>
      </c>
      <c r="G12" s="24"/>
    </row>
    <row r="13" spans="1:10" x14ac:dyDescent="0.25">
      <c r="A13" s="5" t="str">
        <f>HYPERLINK("#'Input - Livestock sales'!A1", "Livestock sales")</f>
        <v>Livestock sales</v>
      </c>
      <c r="D13" s="12" t="s">
        <v>16</v>
      </c>
      <c r="E13" s="40">
        <f>DATE(YEAR(E12)+1,MONTH(E12),DAY(E12))-1</f>
        <v>45657</v>
      </c>
      <c r="F13" s="16" t="s">
        <v>94</v>
      </c>
      <c r="G13" s="24"/>
    </row>
    <row r="14" spans="1:10" x14ac:dyDescent="0.25">
      <c r="A14" s="5" t="str">
        <f>HYPERLINK("#'Input - Dairy cattle purchases'!A1", "Dairy cattle purchases")</f>
        <v>Dairy cattle purchases</v>
      </c>
      <c r="F14" s="24"/>
      <c r="G14" s="24"/>
    </row>
    <row r="15" spans="1:10" x14ac:dyDescent="0.25">
      <c r="A15" s="5" t="str">
        <f>HYPERLINK("#'Input - Pasture'!A1", "Pasture")</f>
        <v>Pasture</v>
      </c>
    </row>
    <row r="16" spans="1:10" ht="23.25" x14ac:dyDescent="0.25">
      <c r="A16" s="5" t="str">
        <f>HYPERLINK("#'Input - Fert Prod System'!A1", "Fert Prod System")</f>
        <v>Fert Prod System</v>
      </c>
      <c r="D16" s="2" t="s">
        <v>17</v>
      </c>
    </row>
    <row r="17" spans="1:6" x14ac:dyDescent="0.25">
      <c r="A17" s="5" t="str">
        <f>HYPERLINK("#'Input - Fertiliser'!A1", "Fertiliser")</f>
        <v>Fertiliser</v>
      </c>
    </row>
    <row r="18" spans="1:6" x14ac:dyDescent="0.25">
      <c r="A18" s="5" t="str">
        <f>HYPERLINK("#'Input - Fuel'!A1", "Fuel")</f>
        <v>Fuel</v>
      </c>
      <c r="D18" s="1" t="s">
        <v>12</v>
      </c>
      <c r="E18" s="14">
        <v>45231</v>
      </c>
      <c r="F18" s="16" t="s">
        <v>93</v>
      </c>
    </row>
    <row r="19" spans="1:6" x14ac:dyDescent="0.25">
      <c r="A19" s="5" t="str">
        <f>HYPERLINK("#'Input - Electricity'!A1", "Electricity")</f>
        <v>Electricity</v>
      </c>
      <c r="D19" s="1" t="s">
        <v>13</v>
      </c>
      <c r="E19" s="14">
        <v>45747</v>
      </c>
      <c r="F19" s="16" t="s">
        <v>93</v>
      </c>
    </row>
    <row r="20" spans="1:6" x14ac:dyDescent="0.25">
      <c r="A20" s="5" t="str">
        <f>HYPERLINK("#'Input - Common farm inputs'!A1", "Common farm inputs")</f>
        <v>Common farm inputs</v>
      </c>
      <c r="D20" s="1" t="s">
        <v>14</v>
      </c>
      <c r="E20" s="15">
        <f>DATEDIF(E18,E19+1,"m")</f>
        <v>17</v>
      </c>
      <c r="F20" s="16" t="s">
        <v>116</v>
      </c>
    </row>
    <row r="21" spans="1:6" x14ac:dyDescent="0.25">
      <c r="A21" s="5" t="str">
        <f>HYPERLINK("#'Input - Crop pasture farm input'!A1", "Crop pasture farm input")</f>
        <v>Crop pasture farm input</v>
      </c>
    </row>
    <row r="22" spans="1:6" x14ac:dyDescent="0.25">
      <c r="A22" s="5" t="str">
        <f>HYPERLINK("#'Input - Livestock farm Inputs'!A1", "Livestock farm Inputs")</f>
        <v>Livestock farm Inputs</v>
      </c>
      <c r="D22" s="1" t="s">
        <v>18</v>
      </c>
      <c r="E22" s="77">
        <f>SUM(Table_Input_LivestockSales[Total liveweight sold])*10^-3</f>
        <v>5</v>
      </c>
      <c r="F22" s="16" t="s">
        <v>19</v>
      </c>
    </row>
    <row r="23" spans="1:6" x14ac:dyDescent="0.25">
      <c r="A23" s="5" t="str">
        <f>HYPERLINK("#'Input - Freight'!A1", "Freight")</f>
        <v>Freight</v>
      </c>
      <c r="D23" s="1" t="s">
        <v>183</v>
      </c>
      <c r="E23" s="77" t="str" cm="1">
        <f t="array" ref="E23">X_Cell_Dairy_MilkProductionUnit</f>
        <v>Litres of milk</v>
      </c>
      <c r="F23" s="16"/>
    </row>
    <row r="24" spans="1:6" x14ac:dyDescent="0.25">
      <c r="A24" s="5" t="str">
        <f>HYPERLINK("#'Input - Solid waste'!A1", "Solid waste")</f>
        <v>Solid waste</v>
      </c>
      <c r="D24" s="1" t="s">
        <v>182</v>
      </c>
      <c r="E24" s="77" cm="1">
        <f t="array" ref="E24">X_Cell_Dairy_MilkProductionAmount*365*IF(E23="Milk solds", 1, 1.03)</f>
        <v>7519</v>
      </c>
      <c r="F24" s="16" t="str">
        <f>E23</f>
        <v>Litres of milk</v>
      </c>
    </row>
    <row r="25" spans="1:6" x14ac:dyDescent="0.25">
      <c r="A25" s="5" t="str">
        <f>HYPERLINK("#'Input - Manure sent off-site'!A1", "Manure sent off-site")</f>
        <v>Manure sent off-site</v>
      </c>
      <c r="D25" s="1" t="s">
        <v>185</v>
      </c>
      <c r="E25" s="75">
        <v>1</v>
      </c>
      <c r="F25" s="16" t="s">
        <v>19</v>
      </c>
    </row>
    <row r="26" spans="1:6" x14ac:dyDescent="0.25">
      <c r="A26" s="5" t="str">
        <f>HYPERLINK("#'Input - Data quality'!A1", "Data quality")</f>
        <v>Data quality</v>
      </c>
      <c r="D26" s="1" t="s">
        <v>244</v>
      </c>
      <c r="E26" s="75">
        <v>1</v>
      </c>
      <c r="F26" s="16" t="s">
        <v>19</v>
      </c>
    </row>
    <row r="28" spans="1:6" x14ac:dyDescent="0.25">
      <c r="D28" s="1" t="s">
        <v>184</v>
      </c>
      <c r="E28" s="18">
        <v>0.8</v>
      </c>
      <c r="F28" s="16" t="s">
        <v>149</v>
      </c>
    </row>
    <row r="29" spans="1:6" x14ac:dyDescent="0.25">
      <c r="A29" s="6" t="s">
        <v>2</v>
      </c>
      <c r="D29" s="1" t="s">
        <v>150</v>
      </c>
      <c r="E29" s="18">
        <v>0.15</v>
      </c>
      <c r="F29" s="16" t="s">
        <v>149</v>
      </c>
    </row>
    <row r="30" spans="1:6" x14ac:dyDescent="0.25">
      <c r="A30" s="5" t="str">
        <f>HYPERLINK("#'3.3.1.1-2 Enteric Methane'!A1", "3.3.1.1-2 Enteric methane")</f>
        <v>3.3.1.1-2 Enteric methane</v>
      </c>
      <c r="D30" s="1" t="s">
        <v>151</v>
      </c>
      <c r="E30" s="18">
        <v>0.05</v>
      </c>
      <c r="F30" s="16" t="s">
        <v>149</v>
      </c>
    </row>
    <row r="31" spans="1:6" x14ac:dyDescent="0.25">
      <c r="A31" s="5" t="str">
        <f>HYPERLINK("#'4.3.1.1-2 Methane'!A1", "4.3.1.1-2 Manure methane")</f>
        <v>4.3.1.1-2 Manure methane</v>
      </c>
    </row>
    <row r="32" spans="1:6" x14ac:dyDescent="0.25">
      <c r="A32" s="5" t="str">
        <f>HYPERLINK("#'4.3.1.3-4 Direct N20'!A1", "4.3.1.3-4 Direct N20")</f>
        <v>4.3.1.3-4 Direct N20</v>
      </c>
    </row>
    <row r="33" spans="1:7" x14ac:dyDescent="0.25">
      <c r="A33" s="5" t="str">
        <f>HYPERLINK("#'4.3.1.5 Atmos deposition'!A1", "4.3.1.5 Atmos deposition")</f>
        <v>4.3.1.5 Atmos deposition</v>
      </c>
    </row>
    <row r="34" spans="1:7" ht="23.25" x14ac:dyDescent="0.25">
      <c r="A34" s="5" t="str">
        <f>HYPERLINK("#'4.3.1.6-7 Leaching and runoff'!A1", "4.3.1.6-7 Leaching &amp; runoff")</f>
        <v>4.3.1.6-7 Leaching &amp; runoff</v>
      </c>
      <c r="D34" s="2" t="s">
        <v>273</v>
      </c>
    </row>
    <row r="35" spans="1:7" x14ac:dyDescent="0.25">
      <c r="A35" s="5" t="str">
        <f>HYPERLINK("#'4.3.1.8 Manure applied to soils'!A1", "4.3.1.8 Manure applied to soils")</f>
        <v>4.3.1.8 Manure applied to soils</v>
      </c>
    </row>
    <row r="36" spans="1:7" x14ac:dyDescent="0.25">
      <c r="A36" s="5" t="str">
        <f>HYPERLINK("#'4.3.1.9 Soil direct N2O'!A1", "4.3.1.9 Soil direct N2O")</f>
        <v>4.3.1.9 Soil direct N2O</v>
      </c>
    </row>
    <row r="37" spans="1:7" ht="18.75" x14ac:dyDescent="0.25">
      <c r="A37" s="5" t="str">
        <f>HYPERLINK("#'4.3.1.10-11 Soil Atmos Dep'!A1", "4.3.1.10-11 Soil Atmos Deposition")</f>
        <v>4.3.1.10-11 Soil Atmos Deposition</v>
      </c>
      <c r="D37" s="78" t="str">
        <f>"Carbon captured from " &amp; TEXT(X_Cell_Site_StartDate, "d mmmm yyyy") &amp; " to " &amp; TEXT(X_Cell_Site_EndDate, "d, mmmm, yyyy") &amp; " from environmental plantings"</f>
        <v>Carbon captured from 1 January 2024 to 31, December, 2024 from environmental plantings</v>
      </c>
    </row>
    <row r="38" spans="1:7" x14ac:dyDescent="0.25">
      <c r="A38" s="5" t="str">
        <f>HYPERLINK("#'4.3.1.12-13 Soil leach runoff'!A1", "4.3.1.12-13 Soil leach &amp; runoff")</f>
        <v>4.3.1.12-13 Soil leach &amp; runoff</v>
      </c>
    </row>
    <row r="39" spans="1:7" x14ac:dyDescent="0.25">
      <c r="A39" s="5" t="str">
        <f>HYPERLINK("#'5.1.1.1-2 Inorganic fert N2O'!A1", "5.1.1.1-2 Inorganic fert N2O")</f>
        <v>5.1.1.1-2 Inorganic fert N2O</v>
      </c>
      <c r="D39" s="19" t="s">
        <v>274</v>
      </c>
      <c r="E39" s="19" t="s">
        <v>275</v>
      </c>
      <c r="F39" s="19" t="s">
        <v>276</v>
      </c>
      <c r="G39" s="81" t="s">
        <v>277</v>
      </c>
    </row>
    <row r="40" spans="1:7" x14ac:dyDescent="0.25">
      <c r="A40" s="5" t="str">
        <f>HYPERLINK("#'5.1.1.3-4 Inorganic fert CO2'!A1", "5.1.1.3-4 Inorganic fert CO2")</f>
        <v>5.1.1.3-4 Inorganic fert CO2</v>
      </c>
      <c r="D40" s="33"/>
      <c r="E40" s="75"/>
      <c r="F40" s="18"/>
      <c r="G40" s="1">
        <f>Table_Input_Enterprise_PlantingRemovals[[#This Row],[Total removed CO2]]*Table_Input_Enterprise_PlantingRemovals[[#This Row],[Percent allocated to this enterprise]]</f>
        <v>0</v>
      </c>
    </row>
    <row r="41" spans="1:7" x14ac:dyDescent="0.25">
      <c r="A41" s="5" t="str">
        <f>HYPERLINK("#'5.2.1.1-2 Organic Fert N2O'!A1", "5.2.1.1-2 Organic fert N2O")</f>
        <v>5.2.1.1-2 Organic fert N2O</v>
      </c>
    </row>
    <row r="42" spans="1:7" x14ac:dyDescent="0.25">
      <c r="A42" s="5" t="str">
        <f>HYPERLINK("#'5.3.1.1-2 Lime CO2'!A1", "5.3.1.1-2 Lime CO2")</f>
        <v>5.3.1.1-2 Lime CO2</v>
      </c>
    </row>
    <row r="43" spans="1:7" x14ac:dyDescent="0.25">
      <c r="A43" s="5" t="str">
        <f>HYPERLINK("#'5.4.1.1-4 Atmos deposition'!A1", "5.4.1.1-4 Atmos. deposition")</f>
        <v>5.4.1.1-4 Atmos. deposition</v>
      </c>
    </row>
    <row r="44" spans="1:7" ht="23.25" x14ac:dyDescent="0.25">
      <c r="A44" s="5" t="str">
        <f>HYPERLINK("#'5.5.1.1-2 Leaching and runoff'!A1", "5.5.1.1-2 Leaching &amp; runoff")</f>
        <v>5.5.1.1-2 Leaching &amp; runoff</v>
      </c>
      <c r="D44" s="2" t="s">
        <v>278</v>
      </c>
    </row>
    <row r="45" spans="1:7" x14ac:dyDescent="0.25">
      <c r="A45" s="5" t="str">
        <f>HYPERLINK("#'6.2.1.1-2 Pasture residue N2O'!A1", "6.2.1.1-2 Pasture residue N2O")</f>
        <v>6.2.1.1-2 Pasture residue N2O</v>
      </c>
    </row>
    <row r="46" spans="1:7" ht="18.75" x14ac:dyDescent="0.25">
      <c r="A46" s="5" t="str">
        <f>HYPERLINK("#'6.3.1.1-2 Leach runoff pasture'!A1", "6.3.1.1-2 Leach &amp; runoff (pasture)")</f>
        <v>6.3.1.1-2 Leach &amp; runoff (pasture)</v>
      </c>
      <c r="D46"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47" spans="1:7" x14ac:dyDescent="0.25">
      <c r="A47" s="5" t="str">
        <f>HYPERLINK("#'8.1.1.1-2 Transport fuel'!A1", "8.1.1.1-2 Transport fuel")</f>
        <v>8.1.1.1-2 Transport fuel</v>
      </c>
    </row>
    <row r="48" spans="1:7" x14ac:dyDescent="0.25">
      <c r="A48" s="5" t="str">
        <f>HYPERLINK("#'8.2.1.1-2 Stationary fuel'!A1", "8.2.1.1-2 Stationary fuel")</f>
        <v>8.2.1.1-2 Stationary fuel</v>
      </c>
      <c r="D48" s="79" t="str" cm="1">
        <f t="array" ref="D48">"There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49" spans="1:7" x14ac:dyDescent="0.25">
      <c r="A49" s="5" t="str">
        <f>HYPERLINK("#'10.1.1-2 Solid waste treatment'!A1", "10.1.1.1-2 Solid waste")</f>
        <v>10.1.1.1-2 Solid waste</v>
      </c>
      <c r="D49" s="1" t="s">
        <v>279</v>
      </c>
    </row>
    <row r="50" spans="1:7" x14ac:dyDescent="0.25">
      <c r="A50" s="5" t="str">
        <f>HYPERLINK("#'14.1.1-2 Purchased electricity'!A1", "14.1.1-2 Purchased electricity")</f>
        <v>14.1.1-2 Purchased electricity</v>
      </c>
    </row>
    <row r="51" spans="1:7" x14ac:dyDescent="0.25">
      <c r="A51" s="5" t="str">
        <f>HYPERLINK("#'15 Scope 3'!A1", "15 Scope 3")</f>
        <v>15 Scope 3</v>
      </c>
      <c r="D51" s="81" t="s">
        <v>115</v>
      </c>
      <c r="E51" s="81" t="s">
        <v>9</v>
      </c>
      <c r="F51" s="81" t="s">
        <v>10</v>
      </c>
    </row>
    <row r="52" spans="1:7" x14ac:dyDescent="0.25">
      <c r="A52" s="5" t="str">
        <f>HYPERLINK("#'Calcs - Manure sent off-site'!A1", "Calcs - Manure sent off-site")</f>
        <v>Calcs - Manure sent off-site</v>
      </c>
      <c r="D52" s="1" t="str" cm="1">
        <f t="array" ref="D52:D54">Common_InputFunctions.getOverlappingReportingPeriods(X_Cell_Enterprise_ProductionTimeframeStart,X_Cell_Enterprise_ProductionTimeframeEnd,X_Cell_Site_StartDate)</f>
        <v>01 Jan 2023 to 31 Dec 2023</v>
      </c>
      <c r="E52" s="75" t="str">
        <f>IF(ISBLANK($D52), 0, IF(ISNUMBER(SEARCH("reporting", $D52)), Result_Enterprise_Gross_Method1, "Enter value"))</f>
        <v>Enter value</v>
      </c>
      <c r="F52" s="75" t="str">
        <f>IF(ISBLANK($D52), 0, IF(ISNUMBER(SEARCH("reporting", $D52)), Result_Enterprise_Gross_Method2, "Enter value"))</f>
        <v>Enter value</v>
      </c>
      <c r="G52" s="9" t="s">
        <v>6</v>
      </c>
    </row>
    <row r="53" spans="1:7" x14ac:dyDescent="0.25">
      <c r="D53" s="1" t="str">
        <v>01 Jan 2024 to 31 Dec 2024 (This reporting cycle)</v>
      </c>
      <c r="E53" s="75" t="e">
        <f ca="1">IF(ISBLANK($D53), 0, IF(ISNUMBER(SEARCH("reporting", $D53)), Result_Enterprise_Gross_Method1, "Enter value"))</f>
        <v>#N/A</v>
      </c>
      <c r="F53" s="75" t="e">
        <f ca="1">IF(ISBLANK($D53), 0, IF(ISNUMBER(SEARCH("reporting", $D53)), Result_Enterprise_Gross_Method2, "Enter value"))</f>
        <v>#N/A</v>
      </c>
      <c r="G53" s="9" t="s">
        <v>6</v>
      </c>
    </row>
    <row r="54" spans="1:7" x14ac:dyDescent="0.25">
      <c r="D54" s="1" t="str">
        <v>01 Jan 2025 to 31 Dec 2025</v>
      </c>
      <c r="E54" s="75" t="str">
        <f>IF(ISBLANK($D54), 0, IF(ISNUMBER(SEARCH("reporting", $D54)), Result_Enterprise_Gross_Method1, "Enter value"))</f>
        <v>Enter value</v>
      </c>
      <c r="F54" s="75" t="str">
        <f>IF(ISBLANK($D54), 0, IF(ISNUMBER(SEARCH("reporting", $D54)), Result_Enterprise_Gross_Method2, "Enter value"))</f>
        <v>Enter value</v>
      </c>
      <c r="G54" s="9" t="s">
        <v>6</v>
      </c>
    </row>
    <row r="55" spans="1:7" x14ac:dyDescent="0.25">
      <c r="A55" s="83" t="s">
        <v>1</v>
      </c>
      <c r="E55" s="75">
        <f>IF(ISBLANK($D55), 0, IF(ISNUMBER(SEARCH("reporting", $D55)), Result_Enterprise_Gross_Method1, "Enter value"))</f>
        <v>0</v>
      </c>
      <c r="F55" s="75">
        <f>IF(ISBLANK($D55), 0, IF(ISNUMBER(SEARCH("reporting", $D55)), Result_Enterprise_Gross_Method2, "Enter value"))</f>
        <v>0</v>
      </c>
      <c r="G55" s="9" t="s">
        <v>6</v>
      </c>
    </row>
    <row r="56" spans="1:7" x14ac:dyDescent="0.25">
      <c r="A56" s="5" t="str">
        <f>HYPERLINK("#'Constants - Dairy'!A1", "Constants - Dairy")</f>
        <v>Constants - Dairy</v>
      </c>
      <c r="E56" s="75">
        <f>IF(ISBLANK($D56), 0, IF(ISNUMBER(SEARCH("reporting", $D56)), Result_Enterprise_Gross_Method1, "Enter value"))</f>
        <v>0</v>
      </c>
      <c r="F56" s="75">
        <f>IF(ISBLANK($D56), 0, IF(ISNUMBER(SEARCH("reporting", $D56)), Result_Enterprise_Gross_Method2, "Enter value"))</f>
        <v>0</v>
      </c>
      <c r="G56" s="9" t="s">
        <v>6</v>
      </c>
    </row>
    <row r="57" spans="1:7" x14ac:dyDescent="0.25">
      <c r="A57" s="5" t="str">
        <f>HYPERLINK("#'Constants - Ag Residue'!A1", "Constants - Ag residue")</f>
        <v>Constants - Ag residue</v>
      </c>
      <c r="D57" s="93" t="s">
        <v>127</v>
      </c>
      <c r="E57" s="89" t="e">
        <f ca="1">SUM(E52:E56)</f>
        <v>#N/A</v>
      </c>
      <c r="F57" s="89" t="e">
        <f ca="1">SUM(F52:F56)</f>
        <v>#N/A</v>
      </c>
      <c r="G57" s="94" t="s">
        <v>6</v>
      </c>
    </row>
    <row r="58" spans="1:7" x14ac:dyDescent="0.25">
      <c r="A58" s="5" t="str">
        <f>HYPERLINK("#'Constants - Common Livestock'!A1", "Constants - Common Livestock")</f>
        <v>Constants - Common Livestock</v>
      </c>
    </row>
    <row r="59" spans="1:7" x14ac:dyDescent="0.25">
      <c r="A59" s="5" t="str">
        <f>HYPERLINK("#'Constants - Electricity'!A1", "Constants - Electricity")</f>
        <v>Constants - Electricity</v>
      </c>
    </row>
    <row r="60" spans="1:7" x14ac:dyDescent="0.25">
      <c r="A60" s="5" t="str">
        <f>HYPERLINK("#'Constants - Fertiliser'!A1", "Constants - Fertiliser")</f>
        <v>Constants - Fertiliser</v>
      </c>
    </row>
    <row r="61" spans="1:7" x14ac:dyDescent="0.25">
      <c r="A61" s="5" t="str">
        <f>HYPERLINK("#'Constants - Fuel'!A1", "Constants - Fuel")</f>
        <v>Constants - Fuel</v>
      </c>
    </row>
    <row r="62" spans="1:7" ht="18.75" x14ac:dyDescent="0.25">
      <c r="A62" s="5" t="str">
        <f>HYPERLINK("#'Constants - Scope 3'!A1", "Constants - Scope 3")</f>
        <v>Constants - Scope 3</v>
      </c>
      <c r="D62"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3" spans="1:7" x14ac:dyDescent="0.25">
      <c r="A63" s="5" t="str">
        <f>HYPERLINK("#'Constants - Common'!A1", "Constants - Common")</f>
        <v>Constants - Common</v>
      </c>
    </row>
    <row r="64" spans="1:7" x14ac:dyDescent="0.25">
      <c r="A64" s="5" t="str">
        <f>HYPERLINK("#'Constants - Solid Waste'!A1", "Constants - Solid Waste")</f>
        <v>Constants - Solid Waste</v>
      </c>
      <c r="D64" s="81" t="s">
        <v>115</v>
      </c>
      <c r="E64" s="81" t="s">
        <v>125</v>
      </c>
      <c r="F64" s="81"/>
    </row>
    <row r="65" spans="1:7" x14ac:dyDescent="0.25">
      <c r="A65" s="5" t="str">
        <f>HYPERLINK("#'Acknowledgements'!A1", "Acknowledgements")</f>
        <v>Acknowledgements</v>
      </c>
      <c r="D65" s="1" t="str" cm="1">
        <f t="array" ref="D65:D67">Common_InputFunctions.getOverlappingReportingPeriods(X_Cell_Enterprise_ProductionTimeframeStart,X_Cell_Enterprise_ProductionTimeframeEnd,X_Cell_Site_StartDate)</f>
        <v>01 Jan 2023 to 31 Dec 2023</v>
      </c>
      <c r="E65" s="75" t="str">
        <f>IF(ISBLANK($D65), 0, IF(ISNUMBER(SEARCH("reporting", $D65)), SUM(Table_Input_Enterprise_PlantingRemovals[Removal allocated to this enterprise]), "Enter value"))</f>
        <v>Enter value</v>
      </c>
      <c r="F65" s="9" t="s">
        <v>126</v>
      </c>
    </row>
    <row r="66" spans="1:7" x14ac:dyDescent="0.25">
      <c r="D66" s="1" t="str">
        <v>01 Jan 2024 to 31 Dec 2024 (This reporting cycle)</v>
      </c>
      <c r="E66" s="75">
        <f>IF(ISBLANK($D66), 0, IF(ISNUMBER(SEARCH("reporting", $D66)), SUM(Table_Input_Enterprise_PlantingRemovals[Removal allocated to this enterprise]), "Enter value"))</f>
        <v>0</v>
      </c>
      <c r="F66" s="9" t="s">
        <v>126</v>
      </c>
    </row>
    <row r="67" spans="1:7" x14ac:dyDescent="0.25">
      <c r="D67" s="1" t="str">
        <v>01 Jan 2025 to 31 Dec 2025</v>
      </c>
      <c r="E67" s="75" t="str">
        <f>IF(ISBLANK($D67), 0, IF(ISNUMBER(SEARCH("reporting", $D67)), SUM(Table_Input_Enterprise_PlantingRemovals[Removal allocated to this enterprise]), "Enter value"))</f>
        <v>Enter value</v>
      </c>
      <c r="F67" s="9" t="s">
        <v>126</v>
      </c>
    </row>
    <row r="68" spans="1:7" x14ac:dyDescent="0.25">
      <c r="E68" s="75">
        <f>IF(ISBLANK($D68), 0, IF(ISNUMBER(SEARCH("reporting", $D68)), SUM(Table_Input_Enterprise_PlantingRemovals[Removal allocated to this enterprise]), "Enter value"))</f>
        <v>0</v>
      </c>
      <c r="F68" s="9" t="s">
        <v>126</v>
      </c>
    </row>
    <row r="69" spans="1:7" x14ac:dyDescent="0.25">
      <c r="E69" s="75">
        <f>IF(ISBLANK($D69), 0, IF(ISNUMBER(SEARCH("reporting", $D69)), SUM(Table_Input_Enterprise_PlantingRemovals[Removal allocated to this enterprise]), "Enter value"))</f>
        <v>0</v>
      </c>
      <c r="F69" s="9" t="s">
        <v>126</v>
      </c>
    </row>
    <row r="70" spans="1:7" x14ac:dyDescent="0.25">
      <c r="D70" s="93" t="s">
        <v>128</v>
      </c>
      <c r="E70" s="89">
        <f>SUM(E65:E69)</f>
        <v>0</v>
      </c>
      <c r="F70" s="94" t="s">
        <v>126</v>
      </c>
    </row>
    <row r="73" spans="1:7" ht="18.75" x14ac:dyDescent="0.25">
      <c r="D73"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5" spans="1:7" x14ac:dyDescent="0.25">
      <c r="D75" s="81" t="s">
        <v>115</v>
      </c>
      <c r="E75" s="81" t="s">
        <v>9</v>
      </c>
      <c r="F75" s="81" t="s">
        <v>10</v>
      </c>
    </row>
    <row r="76" spans="1:7" x14ac:dyDescent="0.25">
      <c r="D76" s="1" t="str" cm="1">
        <f t="array" ref="D76:D78">Common_InputFunctions.getOverlappingReportingPeriods(X_Cell_Enterprise_ProductionTimeframeStart,X_Cell_Enterprise_ProductionTimeframeEnd,X_Cell_Site_StartDate)</f>
        <v>01 Jan 2023 to 31 Dec 2023</v>
      </c>
      <c r="E76" s="75" t="str">
        <f>IF(ISBLANK($D76), 0, IF(ISNUMBER(SEARCH("reporting", $D76)), E52-$E$67, "Enter value"))</f>
        <v>Enter value</v>
      </c>
      <c r="F76" s="75" t="str">
        <f>IF(ISBLANK($D76), 0, IF(ISNUMBER(SEARCH("reporting", $D76)), F52-$E$67, "Enter value"))</f>
        <v>Enter value</v>
      </c>
      <c r="G76" s="9" t="s">
        <v>6</v>
      </c>
    </row>
    <row r="77" spans="1:7" x14ac:dyDescent="0.25">
      <c r="D77" s="1" t="str">
        <v>01 Jan 2024 to 31 Dec 2024 (This reporting cycle)</v>
      </c>
      <c r="E77" s="75" t="e">
        <f t="shared" ref="E77:F80" ca="1" si="0">IF(ISBLANK($D77), 0, IF(ISNUMBER(SEARCH("reporting", $D77)), E53-$E$67, "Enter value"))</f>
        <v>#N/A</v>
      </c>
      <c r="F77" s="75" t="e">
        <f t="shared" ca="1" si="0"/>
        <v>#N/A</v>
      </c>
      <c r="G77" s="9" t="s">
        <v>6</v>
      </c>
    </row>
    <row r="78" spans="1:7" x14ac:dyDescent="0.25">
      <c r="D78" s="1" t="str">
        <v>01 Jan 2025 to 31 Dec 2025</v>
      </c>
      <c r="E78" s="75" t="str">
        <f t="shared" si="0"/>
        <v>Enter value</v>
      </c>
      <c r="F78" s="75" t="str">
        <f t="shared" si="0"/>
        <v>Enter value</v>
      </c>
      <c r="G78" s="9" t="s">
        <v>6</v>
      </c>
    </row>
    <row r="79" spans="1:7" x14ac:dyDescent="0.25">
      <c r="E79" s="75">
        <f t="shared" si="0"/>
        <v>0</v>
      </c>
      <c r="F79" s="75">
        <f t="shared" si="0"/>
        <v>0</v>
      </c>
      <c r="G79" s="9" t="s">
        <v>6</v>
      </c>
    </row>
    <row r="80" spans="1:7" x14ac:dyDescent="0.25">
      <c r="E80" s="75">
        <f t="shared" si="0"/>
        <v>0</v>
      </c>
      <c r="F80" s="75">
        <f t="shared" si="0"/>
        <v>0</v>
      </c>
      <c r="G80" s="9" t="s">
        <v>6</v>
      </c>
    </row>
    <row r="81" spans="4:7" x14ac:dyDescent="0.25">
      <c r="D81" s="93" t="s">
        <v>127</v>
      </c>
      <c r="E81" s="89" t="e">
        <f ca="1">SUM(E76:E80)</f>
        <v>#N/A</v>
      </c>
      <c r="F81" s="89" t="e">
        <f ca="1">SUM(F76:F80)</f>
        <v>#N/A</v>
      </c>
      <c r="G81" s="94" t="s">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workbookViewId="0" zoomScale="100" zoomScaleNormal="100">
      <pane xSplit="1" topLeftCell="B1" activePane="topRight" state="frozenSplit"/>
      <selection pane="topRight" activeCell="A64" sqref="A64"/>
    </sheetView>
  </sheetViews>
  <sheetFormatPr defaultColWidth="9.140625" defaultRowHeight="15.75" x14ac:dyDescent="0.25"/>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5">
      <c r="A2"/>
      <c r="C2" s="3"/>
      <c r="D2" s="3"/>
      <c r="E2" s="3"/>
      <c r="F2" s="3"/>
      <c r="G2" s="3"/>
      <c r="H2" s="3"/>
      <c r="I2" s="3"/>
      <c r="J2" s="3"/>
    </row>
    <row r="3" spans="1:24" ht="20.100000000000001" customHeight="1" x14ac:dyDescent="0.25">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5">
      <c r="A4" s="5" t="str">
        <f>HYPERLINK("#'Results - Activity period'!A1", "Results - Activity period")</f>
        <v>Results - Activity period</v>
      </c>
      <c r="C4" s="29"/>
      <c r="D4" s="29"/>
      <c r="E4" s="29"/>
      <c r="F4" s="29"/>
      <c r="G4" s="29"/>
      <c r="H4" s="29"/>
      <c r="I4" s="29"/>
      <c r="J4" s="29"/>
      <c r="K4" s="29"/>
    </row>
    <row r="5" spans="1:24" ht="20.100000000000001" customHeight="1" x14ac:dyDescent="0.25">
      <c r="A5" s="5" t="str">
        <f>HYPERLINK("#'Results - Product EI'!A1", "Results - Product Emissions Intensity")</f>
        <v>Results - Product Emissions Intensity</v>
      </c>
      <c r="D5" s="2" t="s">
        <v>95</v>
      </c>
      <c r="N5" s="30"/>
    </row>
    <row r="6" spans="1:24" ht="20.100000000000001" customHeight="1" x14ac:dyDescent="0.25">
      <c r="A6" s="5" t="str">
        <f>HYPERLINK("#'Results'!A1", "Results")</f>
        <v>Results</v>
      </c>
      <c r="N6" s="32"/>
    </row>
    <row r="7" spans="1:24" ht="20.100000000000001" customHeight="1" x14ac:dyDescent="0.25">
      <c r="A7"/>
      <c r="D7" s="42" t="s">
        <v>96</v>
      </c>
      <c r="E7" s="43"/>
      <c r="F7" s="43"/>
      <c r="G7" s="44"/>
    </row>
    <row r="8" spans="1:24" ht="20.100000000000001" customHeight="1" x14ac:dyDescent="0.25">
      <c r="A8"/>
      <c r="D8" s="45" t="s">
        <v>97</v>
      </c>
      <c r="E8" s="46"/>
      <c r="F8" s="46"/>
      <c r="G8" s="47"/>
    </row>
    <row r="9" spans="1:24" ht="20.100000000000001" customHeight="1" x14ac:dyDescent="0.25">
      <c r="A9" s="7" t="s">
        <v>0</v>
      </c>
      <c r="D9" s="1"/>
      <c r="E9" s="48"/>
      <c r="F9" s="16"/>
      <c r="N9" s="34"/>
    </row>
    <row r="10" spans="1:24" ht="20.100000000000001" customHeight="1" x14ac:dyDescent="0.25">
      <c r="A10" s="5" t="str">
        <f>HYPERLINK("#'Input - Enterprise'!A1", "Enterprise")</f>
        <v>Enterprise</v>
      </c>
      <c r="D10" s="1" t="s">
        <v>98</v>
      </c>
      <c r="E10" s="13" t="s">
        <v>99</v>
      </c>
      <c r="F10" s="16" t="s">
        <v>100</v>
      </c>
      <c r="N10" s="34"/>
    </row>
    <row r="11" spans="1:24" ht="20.100000000000001" customHeight="1" x14ac:dyDescent="0.25">
      <c r="A11" s="99" t="str">
        <f>HYPERLINK("#'Input - Site'!A1", "Site")</f>
        <v>Site</v>
      </c>
      <c r="D11" s="1" t="s">
        <v>101</v>
      </c>
      <c r="E11" s="13" t="s">
        <v>102</v>
      </c>
      <c r="F11" s="16" t="s">
        <v>100</v>
      </c>
      <c r="G11" s="1"/>
      <c r="N11" s="39"/>
    </row>
    <row r="12" spans="1:24" ht="20.100000000000001" customHeight="1" x14ac:dyDescent="0.25">
      <c r="A12" s="5" t="str">
        <f>HYPERLINK("#'Input - Dairy'!A1", "Dairy")</f>
        <v>Dairy</v>
      </c>
      <c r="D12" s="1" t="s">
        <v>103</v>
      </c>
      <c r="E12" s="13" t="s">
        <v>104</v>
      </c>
      <c r="F12" s="16" t="s">
        <v>100</v>
      </c>
    </row>
    <row r="13" spans="1:24" ht="20.100000000000001" customHeight="1" x14ac:dyDescent="0.25">
      <c r="A13" s="5" t="str">
        <f>HYPERLINK("#'Input - Livestock sales'!A1", "Livestock sales")</f>
        <v>Livestock sales</v>
      </c>
      <c r="D13" s="1" t="s">
        <v>36</v>
      </c>
      <c r="E13" s="33">
        <v>307.7</v>
      </c>
      <c r="F13" s="16" t="s">
        <v>105</v>
      </c>
      <c r="N13" s="41"/>
      <c r="O13" s="41"/>
    </row>
    <row r="14" spans="1:24" ht="20.100000000000001" customHeight="1" x14ac:dyDescent="0.25">
      <c r="A14" s="5" t="str">
        <f>HYPERLINK("#'Input - Dairy cattle purchases'!A1", "Dairy cattle purchases")</f>
        <v>Dairy cattle purchases</v>
      </c>
      <c r="D14" s="1" t="s">
        <v>106</v>
      </c>
      <c r="E14" s="33">
        <v>18</v>
      </c>
      <c r="F14" s="16" t="s">
        <v>107</v>
      </c>
      <c r="N14" s="41"/>
      <c r="O14" s="41"/>
    </row>
    <row r="15" spans="1:24" ht="20.100000000000001" customHeight="1" x14ac:dyDescent="0.25">
      <c r="A15" s="5" t="str">
        <f>HYPERLINK("#'Input - Pasture'!A1", "Pasture")</f>
        <v>Pasture</v>
      </c>
      <c r="D15" s="1" t="s">
        <v>108</v>
      </c>
      <c r="E15" s="33">
        <v>601</v>
      </c>
      <c r="F15" s="16" t="s">
        <v>109</v>
      </c>
      <c r="N15" s="41"/>
      <c r="O15" s="41"/>
    </row>
    <row r="16" spans="1:24" ht="20.100000000000001" customHeight="1" x14ac:dyDescent="0.25">
      <c r="A16" s="5" t="str">
        <f>HYPERLINK("#'Input - Fert Prod System'!A1", "Fert Prod System")</f>
        <v>Fert Prod System</v>
      </c>
      <c r="D16" s="12" t="s">
        <v>110</v>
      </c>
      <c r="E16" s="33">
        <v>1326</v>
      </c>
      <c r="F16" s="16" t="s">
        <v>109</v>
      </c>
      <c r="N16" s="41"/>
      <c r="O16" s="41"/>
    </row>
    <row r="17" spans="1:25" ht="20.100000000000001" customHeight="1" x14ac:dyDescent="0.25">
      <c r="A17" s="5" t="str">
        <f>HYPERLINK("#'Input - Fertiliser'!A1", "Fertiliser")</f>
        <v>Fertiliser</v>
      </c>
      <c r="D17" s="1" t="s">
        <v>111</v>
      </c>
      <c r="E17" s="33">
        <v>7</v>
      </c>
      <c r="F17" s="16" t="s">
        <v>112</v>
      </c>
    </row>
    <row r="18" spans="1:25" ht="20.100000000000001" customHeight="1" x14ac:dyDescent="0.25">
      <c r="A18" s="5" t="str">
        <f>HYPERLINK("#'Input - Fuel'!A1", "Fuel")</f>
        <v>Fuel</v>
      </c>
      <c r="D18" s="12" t="s">
        <v>113</v>
      </c>
      <c r="E18" s="15">
        <f>E15/E16</f>
        <v>0.45324283559577677</v>
      </c>
      <c r="F18" s="16"/>
    </row>
    <row r="19" spans="1:25" ht="20.100000000000001" customHeight="1" x14ac:dyDescent="0.25">
      <c r="A19" s="5" t="str">
        <f>HYPERLINK("#'Input - Electricity'!A1", "Electricity")</f>
        <v>Electricity</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5">
      <c r="A20" s="5" t="str">
        <f>HYPERLINK("#'Input - Common farm inputs'!A1", "Common farm inputs")</f>
        <v>Common farm inputs</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5">
      <c r="A21" s="5" t="str">
        <f>HYPERLINK("#'Input - Crop pasture farm input'!A1", "Crop pasture farm input")</f>
        <v>Crop pasture farm input</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5">
      <c r="A22" s="5" t="str">
        <f>HYPERLINK("#'Input - Livestock farm Inputs'!A1", "Livestock farm Inputs")</f>
        <v>Livestock farm Inputs</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5">
      <c r="A23" s="5" t="str">
        <f>HYPERLINK("#'Input - Freight'!A1", "Freight")</f>
        <v>Freight</v>
      </c>
    </row>
    <row r="24" spans="1:25" ht="20.100000000000001" customHeight="1" x14ac:dyDescent="0.25">
      <c r="A24" s="5" t="str">
        <f>HYPERLINK("#'Input - Solid waste'!A1", "Solid waste")</f>
        <v>Solid waste</v>
      </c>
    </row>
    <row r="25" spans="1:25" ht="20.100000000000001" customHeight="1" x14ac:dyDescent="0.25">
      <c r="A25" s="5" t="str">
        <f>HYPERLINK("#'Input - Manure sent off-site'!A1", "Manure sent off-site")</f>
        <v>Manure sent off-site</v>
      </c>
      <c r="N25" s="32"/>
    </row>
    <row r="26" spans="1:25" ht="20.100000000000001" customHeight="1" x14ac:dyDescent="0.25">
      <c r="A26" s="5" t="str">
        <f>HYPERLINK("#'Input - Data quality'!A1", "Data quality")</f>
        <v>Data quality</v>
      </c>
    </row>
    <row r="27" spans="1:25" ht="20.100000000000001" customHeight="1" x14ac:dyDescent="0.25">
      <c r="A27"/>
    </row>
    <row r="28" spans="1:25" ht="20.100000000000001" customHeight="1" x14ac:dyDescent="0.25">
      <c r="A28"/>
    </row>
    <row r="29" spans="1:25" ht="20.100000000000001" customHeight="1" x14ac:dyDescent="0.25">
      <c r="A29" s="6" t="s">
        <v>2</v>
      </c>
    </row>
    <row r="30" spans="1:25" ht="20.100000000000001" customHeight="1" x14ac:dyDescent="0.25">
      <c r="A30" s="5" t="str">
        <f>HYPERLINK("#'3.3.1.1-2 Enteric Methane'!A1", "3.3.1.1-2 Enteric methane")</f>
        <v>3.3.1.1-2 Enteric methane</v>
      </c>
      <c r="L30" s="50"/>
      <c r="M30" s="50"/>
      <c r="N30" s="50"/>
      <c r="O30" s="50"/>
      <c r="P30" s="50"/>
      <c r="Q30" s="50"/>
      <c r="R30" s="50"/>
      <c r="S30" s="50"/>
      <c r="T30" s="50"/>
      <c r="U30" s="50"/>
      <c r="V30" s="50"/>
      <c r="W30" s="50"/>
      <c r="X30" s="50"/>
      <c r="Y30" s="50"/>
    </row>
    <row r="31" spans="1:25" ht="20.100000000000001" customHeight="1" x14ac:dyDescent="0.25">
      <c r="A31" s="5" t="str">
        <f>HYPERLINK("#'4.3.1.1-2 Methane'!A1", "4.3.1.1-2 Manure methane")</f>
        <v>4.3.1.1-2 Manure methane</v>
      </c>
      <c r="L31" s="51"/>
      <c r="M31" s="51"/>
      <c r="N31" s="51"/>
      <c r="O31" s="51"/>
      <c r="P31" s="51"/>
      <c r="Q31" s="51"/>
      <c r="R31" s="51"/>
      <c r="S31" s="51"/>
      <c r="T31" s="51"/>
      <c r="U31" s="51"/>
      <c r="V31" s="51"/>
      <c r="W31" s="51"/>
      <c r="X31" s="51"/>
      <c r="Y31" s="51"/>
    </row>
    <row r="32" spans="1:25" ht="20.100000000000001" customHeight="1" x14ac:dyDescent="0.25">
      <c r="A32" s="5" t="str">
        <f>HYPERLINK("#'4.3.1.3-4 Direct N20'!A1", "4.3.1.3-4 Direct N20")</f>
        <v>4.3.1.3-4 Direct N20</v>
      </c>
      <c r="L32" s="51"/>
      <c r="M32" s="51"/>
      <c r="N32" s="51"/>
      <c r="O32" s="51"/>
      <c r="P32" s="51"/>
      <c r="Q32" s="51"/>
      <c r="R32" s="51"/>
      <c r="S32" s="51"/>
      <c r="T32" s="51"/>
      <c r="U32" s="51"/>
      <c r="V32" s="51"/>
      <c r="W32" s="51"/>
      <c r="X32" s="51"/>
      <c r="Y32" s="51"/>
    </row>
    <row r="33" spans="1:25" ht="20.100000000000001" customHeight="1" x14ac:dyDescent="0.25">
      <c r="A33" s="5" t="str">
        <f>HYPERLINK("#'4.3.1.5 Atmos deposition'!A1", "4.3.1.5 Atmos deposition")</f>
        <v>4.3.1.5 Atmos deposition</v>
      </c>
      <c r="L33" s="51"/>
      <c r="M33" s="51"/>
      <c r="N33" s="51"/>
      <c r="O33" s="51"/>
      <c r="P33" s="51"/>
      <c r="Q33" s="51"/>
      <c r="R33" s="51"/>
      <c r="S33" s="51"/>
      <c r="T33" s="51"/>
      <c r="U33" s="51"/>
      <c r="V33" s="51"/>
      <c r="W33" s="51"/>
      <c r="X33" s="51"/>
      <c r="Y33" s="51"/>
    </row>
    <row r="34" spans="1:25" ht="20.100000000000001" customHeight="1" x14ac:dyDescent="0.25">
      <c r="A34" s="5" t="str">
        <f>HYPERLINK("#'4.3.1.6-7 Leaching and runoff'!A1", "4.3.1.6-7 Leaching &amp; runoff")</f>
        <v>4.3.1.6-7 Leaching &amp; runoff</v>
      </c>
      <c r="J34" s="53"/>
      <c r="K34" s="54"/>
      <c r="L34" s="51"/>
      <c r="M34" s="51"/>
      <c r="N34" s="51"/>
      <c r="O34" s="51"/>
      <c r="P34" s="51"/>
      <c r="Q34" s="51"/>
      <c r="R34" s="51"/>
      <c r="S34" s="51"/>
      <c r="T34" s="51"/>
      <c r="U34" s="51"/>
      <c r="V34" s="51"/>
      <c r="W34" s="51"/>
      <c r="X34" s="51"/>
      <c r="Y34" s="51"/>
    </row>
    <row r="35" spans="1:25" ht="20.100000000000001" customHeight="1" x14ac:dyDescent="0.25">
      <c r="A35" s="5" t="str">
        <f>HYPERLINK("#'4.3.1.8 Manure applied to soils'!A1", "4.3.1.8 Manure applied to soils")</f>
        <v>4.3.1.8 Manure applied to soils</v>
      </c>
      <c r="J35" s="53"/>
      <c r="K35" s="54"/>
      <c r="L35" s="51"/>
      <c r="M35" s="51"/>
      <c r="N35" s="51"/>
      <c r="O35" s="51"/>
      <c r="P35" s="51"/>
      <c r="Q35" s="51"/>
      <c r="R35" s="51"/>
      <c r="S35" s="51"/>
      <c r="T35" s="51"/>
      <c r="U35" s="51"/>
      <c r="V35" s="51"/>
      <c r="W35" s="51"/>
      <c r="X35" s="51"/>
      <c r="Y35" s="51"/>
    </row>
    <row r="36" spans="1:25" ht="20.100000000000001" customHeight="1" x14ac:dyDescent="0.25">
      <c r="A36" s="5" t="str">
        <f>HYPERLINK("#'4.3.1.9 Soil direct N2O'!A1", "4.3.1.9 Soil direct N2O")</f>
        <v>4.3.1.9 Soil direct N2O</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5">
      <c r="A37" s="5" t="str">
        <f>HYPERLINK("#'4.3.1.10-11 Soil Atmos Dep'!A1", "4.3.1.10-11 Soil Atmos Deposition")</f>
        <v>4.3.1.10-11 Soil Atmos Deposition</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5">
      <c r="A38" s="5" t="str">
        <f>HYPERLINK("#'4.3.1.12-13 Soil leach runoff'!A1", "4.3.1.12-13 Soil leach &amp; runoff")</f>
        <v>4.3.1.12-13 Soil leach &amp; runoff</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5">
      <c r="A39" s="5" t="str">
        <f>HYPERLINK("#'5.1.1.1-2 Inorganic fert N2O'!A1", "5.1.1.1-2 Inorganic fert N2O")</f>
        <v>5.1.1.1-2 Inorganic fert N2O</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5">
      <c r="A40" s="5" t="str">
        <f>HYPERLINK("#'5.1.1.3-4 Inorganic fert CO2'!A1", "5.1.1.3-4 Inorganic fert CO2")</f>
        <v>5.1.1.3-4 Inorganic fert CO2</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5">
      <c r="A41" s="5" t="str">
        <f>HYPERLINK("#'5.2.1.1-2 Organic Fert N2O'!A1", "5.2.1.1-2 Organic fert N2O")</f>
        <v>5.2.1.1-2 Organic fert N2O</v>
      </c>
    </row>
    <row r="42" spans="1:25" ht="20.100000000000001" customHeight="1" x14ac:dyDescent="0.25">
      <c r="A42" s="5" t="str">
        <f>HYPERLINK("#'5.3.1.1-2 Lime CO2'!A1", "5.3.1.1-2 Lime CO2")</f>
        <v>5.3.1.1-2 Lime CO2</v>
      </c>
    </row>
    <row r="43" spans="1:25" ht="20.100000000000001" customHeight="1" x14ac:dyDescent="0.25">
      <c r="A43" s="5" t="str">
        <f>HYPERLINK("#'5.4.1.1-4 Atmos deposition'!A1", "5.4.1.1-4 Atmos. deposition")</f>
        <v>5.4.1.1-4 Atmos. deposition</v>
      </c>
    </row>
    <row r="44" spans="1:25" ht="20.100000000000001" customHeight="1" x14ac:dyDescent="0.25">
      <c r="A44" s="5" t="str">
        <f>HYPERLINK("#'5.5.1.1-2 Leaching and runoff'!A1", "5.5.1.1-2 Leaching &amp; runoff")</f>
        <v>5.5.1.1-2 Leaching &amp; runoff</v>
      </c>
    </row>
    <row r="45" spans="1:25" ht="20.100000000000001" customHeight="1" x14ac:dyDescent="0.25">
      <c r="A45" s="5" t="str">
        <f>HYPERLINK("#'6.2.1.1-2 Pasture residue N2O'!A1", "6.2.1.1-2 Pasture residue N2O")</f>
        <v>6.2.1.1-2 Pasture residue N2O</v>
      </c>
      <c r="D45" s="2"/>
    </row>
    <row r="46" spans="1:25" ht="20.100000000000001" customHeight="1" x14ac:dyDescent="0.25">
      <c r="A46" s="5" t="str">
        <f>HYPERLINK("#'6.3.1.1-2 Leach runoff pasture'!A1", "6.3.1.1-2 Leach &amp; runoff (pasture)")</f>
        <v>6.3.1.1-2 Leach &amp; runoff (pasture)</v>
      </c>
      <c r="D46" s="2"/>
    </row>
    <row r="47" spans="1:25" ht="20.100000000000001" customHeight="1" x14ac:dyDescent="0.25">
      <c r="A47" s="5" t="str">
        <f>HYPERLINK("#'8.1.1.1-2 Transport fuel'!A1", "8.1.1.1-2 Transport fuel")</f>
        <v>8.1.1.1-2 Transport fuel</v>
      </c>
      <c r="D47" s="62"/>
      <c r="E47" s="62"/>
      <c r="F47" s="62"/>
      <c r="G47" s="62"/>
      <c r="H47" s="62"/>
    </row>
    <row r="48" spans="1:25" ht="20.100000000000001" customHeight="1" x14ac:dyDescent="0.25">
      <c r="A48" s="5" t="str">
        <f>HYPERLINK("#'8.2.1.1-2 Stationary fuel'!A1", "8.2.1.1-2 Stationary fuel")</f>
        <v>8.2.1.1-2 Stationary fuel</v>
      </c>
      <c r="D48" s="63"/>
      <c r="E48" s="63"/>
      <c r="F48" s="64"/>
      <c r="G48" s="64"/>
      <c r="H48" s="63"/>
    </row>
    <row r="49" spans="1:8" ht="20.100000000000001" customHeight="1" x14ac:dyDescent="0.25">
      <c r="A49" s="5" t="str">
        <f>HYPERLINK("#'10.1.1-2 Solid waste treatment'!A1", "10.1.1.1-2 Solid waste")</f>
        <v>10.1.1.1-2 Solid waste</v>
      </c>
      <c r="D49" s="63"/>
      <c r="E49" s="63"/>
      <c r="F49" s="64"/>
      <c r="G49" s="64"/>
      <c r="H49" s="63"/>
    </row>
    <row r="50" spans="1:8" ht="20.100000000000001" customHeight="1" x14ac:dyDescent="0.25">
      <c r="A50" s="5" t="str">
        <f>HYPERLINK("#'14.1.1-2 Purchased electricity'!A1", "14.1.1-2 Purchased electricity")</f>
        <v>14.1.1-2 Purchased electricity</v>
      </c>
      <c r="D50" s="63"/>
      <c r="E50" s="63"/>
      <c r="F50" s="64"/>
      <c r="G50" s="64"/>
      <c r="H50" s="63"/>
    </row>
    <row r="51" spans="1:8" ht="20.100000000000001" customHeight="1" x14ac:dyDescent="0.25">
      <c r="A51" s="5" t="str">
        <f>HYPERLINK("#'15 Scope 3'!A1", "15 Scope 3")</f>
        <v>15 Scope 3</v>
      </c>
      <c r="D51" s="65"/>
      <c r="E51" s="66"/>
      <c r="F51" s="66"/>
      <c r="G51" s="66"/>
      <c r="H51" s="67"/>
    </row>
    <row r="52" spans="1:8" ht="20.100000000000001" customHeight="1" x14ac:dyDescent="0.25">
      <c r="A52" s="5" t="str">
        <f>HYPERLINK("#'Calcs - Manure sent off-site'!A1", "Calcs - Manure sent off-site")</f>
        <v>Calcs - Manure sent off-site</v>
      </c>
    </row>
    <row r="53" spans="1:8" ht="20.100000000000001" customHeight="1" x14ac:dyDescent="0.25">
      <c r="A53"/>
    </row>
    <row r="54" spans="1:8" ht="20.100000000000001" customHeight="1" x14ac:dyDescent="0.25">
      <c r="A54"/>
      <c r="G54" s="68"/>
    </row>
    <row r="55" spans="1:8" ht="20.100000000000001" customHeight="1" x14ac:dyDescent="0.25">
      <c r="A55" s="83" t="s">
        <v>1</v>
      </c>
      <c r="D55" s="2"/>
    </row>
    <row r="56" spans="1:8" ht="20.100000000000001" customHeight="1" x14ac:dyDescent="0.25">
      <c r="A56" s="5" t="str">
        <f>HYPERLINK("#'Constants - Dairy'!A1", "Constants - Dairy")</f>
        <v>Constants - Dairy</v>
      </c>
    </row>
    <row r="57" spans="1:8" ht="20.100000000000001" customHeight="1" x14ac:dyDescent="0.25">
      <c r="A57" s="5" t="str">
        <f>HYPERLINK("#'Constants - Ag Residue'!A1", "Constants - Ag residue")</f>
        <v>Constants - Ag residue</v>
      </c>
      <c r="D57" s="69"/>
      <c r="F57" s="70"/>
    </row>
    <row r="58" spans="1:8" ht="20.100000000000001" customHeight="1" x14ac:dyDescent="0.25">
      <c r="A58" s="5" t="str">
        <f>HYPERLINK("#'Constants - Common Livestock'!A1", "Constants - Common Livestock")</f>
        <v>Constants - Common Livestock</v>
      </c>
      <c r="D58" s="1"/>
      <c r="E58" s="71"/>
    </row>
    <row r="59" spans="1:8" ht="20.100000000000001" customHeight="1" x14ac:dyDescent="0.25">
      <c r="A59" s="5" t="str">
        <f>HYPERLINK("#'Constants - Electricity'!A1", "Constants - Electricity")</f>
        <v>Constants - Electricity</v>
      </c>
      <c r="D59" s="1"/>
      <c r="E59" s="71"/>
    </row>
    <row r="60" spans="1:8" ht="20.100000000000001" customHeight="1" x14ac:dyDescent="0.25">
      <c r="A60" s="5" t="str">
        <f>HYPERLINK("#'Constants - Fertiliser'!A1", "Constants - Fertiliser")</f>
        <v>Constants - Fertiliser</v>
      </c>
      <c r="D60" s="1"/>
      <c r="E60" s="72"/>
    </row>
    <row r="61" spans="1:8" ht="20.100000000000001" customHeight="1" x14ac:dyDescent="0.25">
      <c r="A61" s="5" t="str">
        <f>HYPERLINK("#'Constants - Fuel'!A1", "Constants - Fuel")</f>
        <v>Constants - Fuel</v>
      </c>
      <c r="D61" s="1"/>
    </row>
    <row r="62" spans="1:8" ht="20.100000000000001" customHeight="1" x14ac:dyDescent="0.25">
      <c r="A62" s="5" t="str">
        <f>HYPERLINK("#'Constants - Scope 3'!A1", "Constants - Scope 3")</f>
        <v>Constants - Scope 3</v>
      </c>
    </row>
    <row r="63" spans="1:8" ht="20.100000000000001" customHeight="1" x14ac:dyDescent="0.25">
      <c r="A63" s="5" t="str">
        <f>HYPERLINK("#'Constants - Common'!A1", "Constants - Common")</f>
        <v>Constants - Common</v>
      </c>
      <c r="D63" s="69"/>
    </row>
    <row r="64" spans="1:8" ht="20.100000000000001" customHeight="1" x14ac:dyDescent="0.25">
      <c r="A64" s="5" t="str">
        <f>HYPERLINK("#'Constants - Solid Waste'!A1", "Constants - Solid Waste")</f>
        <v>Constants - Solid Waste</v>
      </c>
      <c r="D64" s="1"/>
      <c r="E64" s="71"/>
    </row>
    <row r="65" spans="1:9" ht="20.100000000000001" customHeight="1" x14ac:dyDescent="0.25">
      <c r="A65" s="5" t="str">
        <f>HYPERLINK("#'Acknowledgements'!A1", "Acknowledgements")</f>
        <v>Acknowledgements</v>
      </c>
      <c r="D65" s="1"/>
      <c r="E65" s="71"/>
    </row>
    <row r="66" spans="1:9" ht="20.100000000000001" customHeight="1" x14ac:dyDescent="0.25">
      <c r="A66"/>
      <c r="D66" s="1"/>
      <c r="E66" s="72"/>
    </row>
    <row r="67" spans="1:9" ht="20.100000000000001" customHeight="1" x14ac:dyDescent="0.25">
      <c r="A67"/>
    </row>
    <row r="68" spans="1:9" ht="20.100000000000001" customHeight="1" x14ac:dyDescent="0.25">
      <c r="A68"/>
    </row>
    <row r="69" spans="1:9" ht="20.100000000000001" customHeight="1" x14ac:dyDescent="0.25">
      <c r="A69"/>
      <c r="D69" s="73"/>
      <c r="E69" s="73"/>
      <c r="F69" s="73"/>
      <c r="G69" s="73"/>
      <c r="H69" s="73"/>
      <c r="I69" s="73"/>
    </row>
    <row r="70" spans="1:9" ht="20.100000000000001" customHeight="1" x14ac:dyDescent="0.25">
      <c r="A70"/>
      <c r="D70" s="73"/>
      <c r="E70" s="73"/>
      <c r="F70" s="73"/>
      <c r="G70" s="73"/>
      <c r="H70" s="73"/>
      <c r="I70" s="73"/>
    </row>
    <row r="71" spans="1:9" ht="20.100000000000001" customHeight="1" x14ac:dyDescent="0.25">
      <c r="A71"/>
      <c r="D71" s="73"/>
      <c r="E71" s="73"/>
      <c r="F71" s="73"/>
      <c r="G71" s="73"/>
      <c r="H71" s="73"/>
      <c r="I71" s="73"/>
    </row>
    <row r="72" spans="1:9" ht="20.100000000000001" customHeight="1" x14ac:dyDescent="0.25">
      <c r="A72"/>
      <c r="D72" s="73"/>
      <c r="E72" s="73"/>
      <c r="F72" s="73"/>
      <c r="G72" s="73"/>
      <c r="H72" s="73"/>
      <c r="I72" s="73"/>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4"/>
    </row>
    <row r="79" spans="1:9" ht="20.100000000000001" customHeight="1" x14ac:dyDescent="0.25">
      <c r="A79"/>
      <c r="D79" s="74"/>
    </row>
    <row r="80" spans="1:9" ht="20.100000000000001" customHeight="1" x14ac:dyDescent="0.25">
      <c r="A80"/>
      <c r="D80" s="74"/>
    </row>
    <row r="81" spans="1:4" ht="20.100000000000001" customHeight="1" x14ac:dyDescent="0.25">
      <c r="A81"/>
      <c r="D81" s="74"/>
    </row>
    <row r="82" spans="1:4" ht="20.100000000000001" customHeight="1" x14ac:dyDescent="0.25">
      <c r="A82"/>
      <c r="D82" s="74"/>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C115-9754-4473-904E-E754E1EBFAAE}">
  <sheetPr>
    <tabColor theme="5" tint="-0.249977111117893"/>
  </sheetPr>
  <dimension ref="A1:X178"/>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97" customWidth="1"/>
    <col min="18" max="23" width="30.7109375" style="97" customWidth="1"/>
    <col min="24" max="24" width="4.7109375" style="97" customWidth="1"/>
  </cols>
  <sheetData>
    <row r="1" spans="1:24" s="10" customFormat="1" ht="30" customHeight="1" x14ac:dyDescent="0.35">
      <c r="A1" s="10" t="e" vm="1">
        <v>#VALUE!</v>
      </c>
      <c r="C1" s="10" t="s">
        <v>291</v>
      </c>
      <c r="P1" s="97"/>
      <c r="Q1" s="97"/>
      <c r="R1" s="97"/>
      <c r="S1" s="97"/>
      <c r="T1" s="97"/>
      <c r="U1" s="97"/>
      <c r="V1" s="97"/>
      <c r="W1" s="97"/>
      <c r="X1" s="97"/>
    </row>
    <row r="2" spans="1:24" s="3" customFormat="1" ht="20.100000000000001" customHeight="1" x14ac:dyDescent="0.25">
      <c r="A2"/>
      <c r="P2" s="97"/>
      <c r="Q2" s="97"/>
      <c r="R2" s="97"/>
      <c r="S2" s="97"/>
      <c r="T2" s="97"/>
      <c r="U2" s="97"/>
      <c r="V2" s="97"/>
      <c r="W2" s="97"/>
      <c r="X2" s="97"/>
    </row>
    <row r="3" spans="1:24" ht="20.100000000000001" customHeight="1" x14ac:dyDescent="0.25">
      <c r="A3" s="5" t="str">
        <f>HYPERLINK("#'Home'!A1", "Home")</f>
        <v>Home</v>
      </c>
      <c r="C3" s="28"/>
      <c r="D3" s="28"/>
      <c r="E3" s="28"/>
      <c r="F3" s="28"/>
      <c r="G3" s="28"/>
      <c r="H3" s="28"/>
      <c r="I3" s="28"/>
      <c r="J3" s="28"/>
      <c r="K3" s="28"/>
      <c r="L3" s="28"/>
      <c r="M3" s="28"/>
      <c r="N3" s="28"/>
      <c r="O3" s="28"/>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
        <v>292</v>
      </c>
      <c r="O5" s="24"/>
      <c r="S5" s="21"/>
    </row>
    <row r="6" spans="1:24" ht="20.100000000000001" customHeight="1" x14ac:dyDescent="0.25">
      <c r="A6" s="5" t="str">
        <f>HYPERLINK("#'Results'!A1", "Results")</f>
        <v>Results</v>
      </c>
      <c r="O6" s="24"/>
      <c r="S6" s="21"/>
    </row>
    <row r="7" spans="1:24" ht="20.100000000000001" customHeight="1" x14ac:dyDescent="0.25">
      <c r="D7" s="1" t="s">
        <v>293</v>
      </c>
      <c r="E7" s="13" t="s">
        <v>294</v>
      </c>
      <c r="F7" s="16" t="s">
        <v>100</v>
      </c>
      <c r="O7" s="24"/>
      <c r="S7" s="21"/>
    </row>
    <row r="8" spans="1:24" ht="20.100000000000001" customHeight="1" x14ac:dyDescent="0.25">
      <c r="O8" s="24"/>
      <c r="S8" s="21"/>
    </row>
    <row r="9" spans="1:24" ht="20.100000000000001" customHeight="1" x14ac:dyDescent="0.25">
      <c r="A9" s="7" t="s">
        <v>0</v>
      </c>
      <c r="D9" s="98"/>
      <c r="E9" s="81" t="s">
        <v>295</v>
      </c>
      <c r="F9" s="81" t="s">
        <v>296</v>
      </c>
      <c r="G9" s="81" t="s">
        <v>297</v>
      </c>
      <c r="H9" s="81" t="s">
        <v>298</v>
      </c>
      <c r="I9" s="81" t="s">
        <v>299</v>
      </c>
      <c r="S9" s="21"/>
    </row>
    <row r="10" spans="1:24" ht="20.100000000000001" customHeight="1" x14ac:dyDescent="0.25">
      <c r="A10" s="5" t="str">
        <f>HYPERLINK("#'Input - Enterprise'!A1", "Enterprise")</f>
        <v>Enterprise</v>
      </c>
      <c r="D10" s="1" t="str">
        <f>"Average number of head between " &amp; TEXT(X_Cell_Site_StartDate, "dd mmm yy") &amp; " and " &amp; TEXT(X_Cell_Site_EndDate, "dd mmm yy")</f>
        <v>Average number of head between NO - Not in leaching zone and 02 Nov 00</v>
      </c>
      <c r="E10" s="100">
        <v>100</v>
      </c>
      <c r="F10" s="100">
        <v>100</v>
      </c>
      <c r="G10" s="100">
        <v>100</v>
      </c>
      <c r="H10" s="100">
        <v>100</v>
      </c>
      <c r="I10" s="100">
        <v>100</v>
      </c>
      <c r="J10" s="16" t="s">
        <v>300</v>
      </c>
      <c r="K10" s="16"/>
      <c r="L10" s="16"/>
      <c r="M10" s="16"/>
      <c r="N10" s="16"/>
      <c r="S10" s="21"/>
    </row>
    <row r="11" spans="1:24" ht="20.100000000000001" customHeight="1" x14ac:dyDescent="0.25">
      <c r="A11" s="5" t="str">
        <f>HYPERLINK("#'Input - Site'!A1", "Site")</f>
        <v>Site</v>
      </c>
      <c r="S11" s="21"/>
    </row>
    <row r="12" spans="1:24" ht="20.100000000000001" customHeight="1" x14ac:dyDescent="0.25">
      <c r="A12" s="99" t="str">
        <f>HYPERLINK("#'Input - Dairy'!A1", "Dairy")</f>
        <v>Dairy</v>
      </c>
      <c r="D12" s="78" t="s">
        <v>301</v>
      </c>
      <c r="S12" s="21"/>
    </row>
    <row r="13" spans="1:24" ht="20.100000000000001" customHeight="1" x14ac:dyDescent="0.25">
      <c r="A13" s="5" t="str">
        <f>HYPERLINK("#'Input - Livestock sales'!A1", "Livestock sales")</f>
        <v>Livestock sales</v>
      </c>
      <c r="D13" s="98" t="s">
        <v>302</v>
      </c>
      <c r="E13" s="81" t="s">
        <v>295</v>
      </c>
      <c r="F13" s="81" t="s">
        <v>296</v>
      </c>
      <c r="G13" s="81" t="s">
        <v>297</v>
      </c>
      <c r="H13" s="81" t="s">
        <v>298</v>
      </c>
      <c r="I13" s="81" t="s">
        <v>299</v>
      </c>
      <c r="S13" s="41"/>
    </row>
    <row r="14" spans="1:24" ht="20.100000000000001" customHeight="1" x14ac:dyDescent="0.25">
      <c r="A14" s="5" t="str">
        <f>HYPERLINK("#'Input - Dairy cattle purchases'!A1", "Dairy cattle purchases")</f>
        <v>Dairy cattle purchases</v>
      </c>
      <c r="D14" s="1" t="s">
        <v>303</v>
      </c>
      <c r="E14" s="15">
        <f>Common_InputFunctions.Utility_LookupValueInTableNumber(X_Cell_Dairy_Breed, Table_SourceData_Dairy_WjCowsHeifers[Breed],Table_SourceData_Dairy_WjCowsHeifers[Milking cows])</f>
        <v>550</v>
      </c>
      <c r="F14" s="15">
        <f>Common_InputFunctions.Utility_LookupValueInTableNumber(X_Cell_Dairy_Breed, Table_SourceData_Dairy_WjCowsHeifers[Breed],Table_SourceData_Dairy_WjCowsHeifers[Heifers &gt; 1])</f>
        <v>380</v>
      </c>
      <c r="G14" s="15">
        <f>Common_InputFunctions.Utility_LookupValueInTableNumber(X_Cell_Dairy_Breed, Table_SourceData_Dairy_WjCowsHeifers[Breed],Table_SourceData_Dairy_WjCowsHeifers[Heifers &lt; 1 (weaned)])</f>
        <v>155</v>
      </c>
      <c r="H14" s="15" cm="1">
        <f t="array" ref="H14">Table_SourceData_Dairy_WjBulls[Bulls &gt; 1]</f>
        <v>600</v>
      </c>
      <c r="I14" s="15" cm="1">
        <f t="array" ref="I14">Table_SourceData_Dairy_WjBulls[Bulls &lt; 1 (weaned)]</f>
        <v>225</v>
      </c>
      <c r="J14" s="16" t="s">
        <v>304</v>
      </c>
      <c r="K14" s="16"/>
      <c r="L14" s="16"/>
      <c r="M14" s="16"/>
      <c r="N14" s="16"/>
      <c r="S14" s="41"/>
    </row>
    <row r="15" spans="1:24" ht="20.100000000000001" customHeight="1" x14ac:dyDescent="0.25">
      <c r="A15" s="5" t="str">
        <f>HYPERLINK("#'Input - Pasture'!A1", "Pasture")</f>
        <v>Pasture</v>
      </c>
      <c r="D15" s="1" t="s">
        <v>305</v>
      </c>
      <c r="E15" s="15" cm="1">
        <f t="array" ref="E15">Table_SourceData_Dairy_LWGj[Milking cows]</f>
        <v>1.6E-2</v>
      </c>
      <c r="F15" s="15" cm="1">
        <f t="array" ref="F15">Table_SourceData_Dairy_LWGj[Heifers &gt; 1]</f>
        <v>0.6</v>
      </c>
      <c r="G15" s="15" cm="1">
        <f t="array" ref="G15">Table_SourceData_Dairy_LWGj[Heifers &lt; 1 (weaned)]</f>
        <v>0.56999999999999995</v>
      </c>
      <c r="H15" s="15" cm="1">
        <f t="array" ref="H15">Table_SourceData_Dairy_LWGj[Bulls &gt; 1]</f>
        <v>0.1</v>
      </c>
      <c r="I15" s="15" cm="1">
        <f t="array" ref="I15">Table_SourceData_Dairy_LWGj[Bulls &lt; 1 (weaned)]</f>
        <v>0.8</v>
      </c>
      <c r="J15" s="16" t="s">
        <v>306</v>
      </c>
      <c r="K15" s="16"/>
      <c r="L15" s="16"/>
      <c r="M15" s="16"/>
      <c r="N15" s="16"/>
      <c r="S15" s="41"/>
    </row>
    <row r="16" spans="1:24" ht="20.100000000000001" customHeight="1" x14ac:dyDescent="0.25">
      <c r="A16" s="5" t="str">
        <f>HYPERLINK("#'Input - Fert Prod System'!A1", "Fert Prod System")</f>
        <v>Fert Prod System</v>
      </c>
      <c r="S16" s="41"/>
    </row>
    <row r="17" spans="1:19" ht="20.100000000000001" customHeight="1" x14ac:dyDescent="0.25">
      <c r="A17" s="5" t="str">
        <f>HYPERLINK("#'Input - Fertiliser'!A1", "Fertiliser")</f>
        <v>Fertiliser</v>
      </c>
      <c r="D17" s="98" t="s">
        <v>307</v>
      </c>
      <c r="E17" s="81" t="s">
        <v>295</v>
      </c>
      <c r="F17" s="81" t="s">
        <v>296</v>
      </c>
      <c r="G17" s="81" t="s">
        <v>297</v>
      </c>
      <c r="H17" s="81" t="s">
        <v>298</v>
      </c>
      <c r="I17" s="81" t="s">
        <v>299</v>
      </c>
      <c r="S17" s="21"/>
    </row>
    <row r="18" spans="1:19" ht="20.100000000000001" customHeight="1" x14ac:dyDescent="0.25">
      <c r="A18" s="5" t="str">
        <f>HYPERLINK("#'Input - Fuel'!A1", "Fuel")</f>
        <v>Fuel</v>
      </c>
      <c r="D18" s="1" t="s">
        <v>303</v>
      </c>
      <c r="E18" s="75">
        <f>Common_InputFunctions.Utility_LookupValueInTableNumber(X_Cell_Dairy_Breed, Table_SourceData_Dairy_WjCowsHeifers[Breed],Table_SourceData_Dairy_WjCowsHeifers[Milking cows])</f>
        <v>550</v>
      </c>
      <c r="F18" s="75">
        <f>Common_InputFunctions.Utility_LookupValueInTableNumber(X_Cell_Dairy_Breed, Table_SourceData_Dairy_WjCowsHeifers[Breed],Table_SourceData_Dairy_WjCowsHeifers[Heifers &gt; 1])</f>
        <v>380</v>
      </c>
      <c r="G18" s="75">
        <f>Common_InputFunctions.Utility_LookupValueInTableNumber(X_Cell_Dairy_Breed, Table_SourceData_Dairy_WjCowsHeifers[Breed],Table_SourceData_Dairy_WjCowsHeifers[Heifers &lt; 1 (weaned)])</f>
        <v>155</v>
      </c>
      <c r="H18" s="75" cm="1">
        <f t="array" ref="H18">Table_SourceData_Dairy_WjBulls[Bulls &gt; 1]</f>
        <v>600</v>
      </c>
      <c r="I18" s="75" cm="1">
        <f t="array" ref="I18">Table_SourceData_Dairy_WjBulls[Bulls &lt; 1 (weaned)]</f>
        <v>225</v>
      </c>
      <c r="J18" s="16" t="s">
        <v>304</v>
      </c>
      <c r="K18" s="16"/>
      <c r="L18" s="16"/>
      <c r="M18" s="16"/>
      <c r="N18" s="16"/>
      <c r="S18" s="21"/>
    </row>
    <row r="19" spans="1:19" ht="20.100000000000001" customHeight="1" x14ac:dyDescent="0.25">
      <c r="A19" s="5" t="str">
        <f>HYPERLINK("#'Input - Electricity'!A1", "Electricity")</f>
        <v>Electricity</v>
      </c>
      <c r="D19" s="1" t="s">
        <v>305</v>
      </c>
      <c r="E19" s="75" cm="1">
        <f t="array" ref="E19">Table_SourceData_Dairy_LWGj[Milking cows]</f>
        <v>1.6E-2</v>
      </c>
      <c r="F19" s="75" cm="1">
        <f t="array" ref="F19">Table_SourceData_Dairy_LWGj[Heifers &gt; 1]</f>
        <v>0.6</v>
      </c>
      <c r="G19" s="75" cm="1">
        <f t="array" ref="G19">Table_SourceData_Dairy_LWGj[Heifers &lt; 1 (weaned)]</f>
        <v>0.56999999999999995</v>
      </c>
      <c r="H19" s="75" cm="1">
        <f t="array" ref="H19">Table_SourceData_Dairy_LWGj[Bulls &gt; 1]</f>
        <v>0.1</v>
      </c>
      <c r="I19" s="75" cm="1">
        <f t="array" ref="I19">Table_SourceData_Dairy_LWGj[Bulls &lt; 1 (weaned)]</f>
        <v>0.8</v>
      </c>
      <c r="J19" s="16" t="s">
        <v>306</v>
      </c>
      <c r="K19" s="16"/>
      <c r="L19" s="16"/>
      <c r="M19" s="16"/>
      <c r="N19" s="16"/>
      <c r="S19" s="21"/>
    </row>
    <row r="20" spans="1:19" ht="20.100000000000001" customHeight="1" x14ac:dyDescent="0.25">
      <c r="A20" s="5" t="str">
        <f>HYPERLINK("#'Input - Common farm inputs'!A1", "Common farm inputs")</f>
        <v>Common farm inputs</v>
      </c>
      <c r="S20" s="21"/>
    </row>
    <row r="21" spans="1:19" ht="20.100000000000001" customHeight="1" x14ac:dyDescent="0.25">
      <c r="A21" s="5" t="str">
        <f>HYPERLINK("#'Input - Crop pasture farm input'!A1", "Crop pasture farm input")</f>
        <v>Crop pasture farm input</v>
      </c>
      <c r="D21" s="78" t="s">
        <v>308</v>
      </c>
      <c r="S21" s="21"/>
    </row>
    <row r="22" spans="1:19" ht="20.100000000000001" customHeight="1" x14ac:dyDescent="0.25">
      <c r="A22" s="5" t="str">
        <f>HYPERLINK("#'Input - Livestock farm Inputs'!A1", "Livestock farm Inputs")</f>
        <v>Livestock farm Inputs</v>
      </c>
      <c r="S22" s="21"/>
    </row>
    <row r="23" spans="1:19" ht="20.100000000000001" customHeight="1" x14ac:dyDescent="0.25">
      <c r="A23" s="5" t="str">
        <f>HYPERLINK("#'Input - Freight'!A1", "Freight")</f>
        <v>Freight</v>
      </c>
      <c r="D23" s="98" t="s">
        <v>302</v>
      </c>
      <c r="E23" s="81" t="s">
        <v>295</v>
      </c>
      <c r="F23" s="81" t="s">
        <v>296</v>
      </c>
      <c r="G23" s="81" t="s">
        <v>297</v>
      </c>
      <c r="H23" s="81" t="s">
        <v>298</v>
      </c>
      <c r="I23" s="81" t="s">
        <v>299</v>
      </c>
      <c r="S23" s="21"/>
    </row>
    <row r="24" spans="1:19" ht="20.100000000000001" customHeight="1" x14ac:dyDescent="0.25">
      <c r="A24" s="5" t="str">
        <f>HYPERLINK("#'Input - Solid waste'!A1", "Solid waste")</f>
        <v>Solid waste</v>
      </c>
      <c r="D24" s="1" t="str">
        <f>"Average duration of stay between " &amp; TEXT(X_Cell_Site_StartDate, "dd mmm yy") &amp; " and " &amp; TEXT(X_Cell_Site_EndDate, "dd mmm yy") &amp; " weaned livestock"</f>
        <v>Average duration of stay between NO - Not in leaching zone and 02 Nov 00 weaned livestock</v>
      </c>
      <c r="E24" s="15" cm="1">
        <f t="array" ref="E24">Common_InputFunctions.Utility_LookupValueInTableNumber(E23,Table_SourceData_Dairy_Duration[Animal class j],Table_SourceData_Dairy_Duration[Duration (weaned)])</f>
        <v>365</v>
      </c>
      <c r="F24" s="15" cm="1">
        <f t="array" ref="F24">Common_InputFunctions.Utility_LookupValueInTableNumber(F23,Table_SourceData_Dairy_Duration[Animal class j],Table_SourceData_Dairy_Duration[Duration (weaned)])</f>
        <v>365</v>
      </c>
      <c r="G24" s="15" cm="1">
        <f t="array" ref="G24">Common_InputFunctions.Utility_LookupValueInTableNumber(G23,Table_SourceData_Dairy_Duration[Animal class j],Table_SourceData_Dairy_Duration[Duration (weaned)])</f>
        <v>281</v>
      </c>
      <c r="H24" s="15" cm="1">
        <f t="array" ref="H24">Common_InputFunctions.Utility_LookupValueInTableNumber(H23,Table_SourceData_Dairy_Duration[Animal class j],Table_SourceData_Dairy_Duration[Duration (weaned)])</f>
        <v>365</v>
      </c>
      <c r="I24" s="15" cm="1">
        <f t="array" ref="I24">Common_InputFunctions.Utility_LookupValueInTableNumber(I23,Table_SourceData_Dairy_Duration[Animal class j],Table_SourceData_Dairy_Duration[Duration (weaned)])</f>
        <v>281</v>
      </c>
      <c r="J24" s="16" t="s">
        <v>112</v>
      </c>
      <c r="K24" s="16"/>
      <c r="L24" s="16"/>
      <c r="M24" s="16"/>
      <c r="N24" s="16"/>
      <c r="S24" s="21"/>
    </row>
    <row r="25" spans="1:19" ht="20.100000000000001" customHeight="1" x14ac:dyDescent="0.25">
      <c r="A25" s="5" t="str">
        <f>HYPERLINK("#'Input - Manure sent off-site'!A1", "Manure sent off-site")</f>
        <v>Manure sent off-site</v>
      </c>
      <c r="D25" s="1" t="str">
        <f>"Average duration of stay between " &amp; TEXT(X_Cell_Site_StartDate, "dd mmm yy") &amp; " and " &amp; TEXT(X_Cell_Site_EndDate, "dd mmm yy") &amp; " pre-weaned livestock"</f>
        <v>Average duration of stay between NO - Not in leaching zone and 02 Nov 00 pre-weaned livestock</v>
      </c>
      <c r="E25" s="15" cm="1">
        <f t="array" ref="E25">Common_InputFunctions.Utility_LookupValueInTableNumber(E23,Table_SourceData_Dairy_Duration[Animal class j],Table_SourceData_Dairy_Duration[Duration (pre-weaned)])</f>
        <v>0</v>
      </c>
      <c r="F25" s="15" cm="1">
        <f t="array" ref="F25">Common_InputFunctions.Utility_LookupValueInTableNumber(F23,Table_SourceData_Dairy_Duration[Animal class j],Table_SourceData_Dairy_Duration[Duration (pre-weaned)])</f>
        <v>0</v>
      </c>
      <c r="G25" s="15" cm="1">
        <f t="array" ref="G25">Common_InputFunctions.Utility_LookupValueInTableNumber(G23,Table_SourceData_Dairy_Duration[Animal class j],Table_SourceData_Dairy_Duration[Duration (pre-weaned)])</f>
        <v>84</v>
      </c>
      <c r="H25" s="15" cm="1">
        <f t="array" ref="H25">Common_InputFunctions.Utility_LookupValueInTableNumber(H23,Table_SourceData_Dairy_Duration[Animal class j],Table_SourceData_Dairy_Duration[Duration (pre-weaned)])</f>
        <v>0</v>
      </c>
      <c r="I25" s="15" cm="1">
        <f t="array" ref="I25">Common_InputFunctions.Utility_LookupValueInTableNumber(I23,Table_SourceData_Dairy_Duration[Animal class j],Table_SourceData_Dairy_Duration[Duration (pre-weaned)])</f>
        <v>84</v>
      </c>
      <c r="J25" s="16" t="s">
        <v>112</v>
      </c>
      <c r="K25" s="16"/>
      <c r="L25" s="16"/>
      <c r="M25" s="16"/>
      <c r="N25" s="16"/>
      <c r="S25" s="21"/>
    </row>
    <row r="26" spans="1:19" ht="20.100000000000001" customHeight="1" x14ac:dyDescent="0.25">
      <c r="A26" s="5" t="str">
        <f>HYPERLINK("#'Input - Data quality'!A1", "Data quality")</f>
        <v>Data quality</v>
      </c>
      <c r="S26" s="21"/>
    </row>
    <row r="27" spans="1:19" ht="20.100000000000001" customHeight="1" x14ac:dyDescent="0.25">
      <c r="D27" s="98" t="s">
        <v>307</v>
      </c>
      <c r="E27" s="81" t="s">
        <v>295</v>
      </c>
      <c r="F27" s="81" t="s">
        <v>296</v>
      </c>
      <c r="G27" s="81" t="s">
        <v>297</v>
      </c>
      <c r="H27" s="81" t="s">
        <v>298</v>
      </c>
      <c r="I27" s="81" t="s">
        <v>299</v>
      </c>
      <c r="S27" s="21"/>
    </row>
    <row r="28" spans="1:19" ht="20.100000000000001" customHeight="1" x14ac:dyDescent="0.25">
      <c r="D28" s="1" t="str">
        <f>"Average duration of stay between " &amp; TEXT(X_Cell_Site_StartDate, "dd mmm yy") &amp; " and " &amp; TEXT(X_Cell_Site_EndDate, "dd mmm yy") &amp; " weaned livestock"</f>
        <v>Average duration of stay between NO - Not in leaching zone and 02 Nov 00 weaned livestock</v>
      </c>
      <c r="E28" s="75" cm="1">
        <f t="array" ref="E28">Common_InputFunctions.Utility_LookupValueInTableNumber(E27,Table_SourceData_Dairy_Duration[Animal class j],Table_SourceData_Dairy_Duration[Duration (weaned)])</f>
        <v>365</v>
      </c>
      <c r="F28" s="75" cm="1">
        <f t="array" ref="F28">Common_InputFunctions.Utility_LookupValueInTableNumber(F27,Table_SourceData_Dairy_Duration[Animal class j],Table_SourceData_Dairy_Duration[Duration (weaned)])</f>
        <v>365</v>
      </c>
      <c r="G28" s="75" cm="1">
        <f t="array" ref="G28">Common_InputFunctions.Utility_LookupValueInTableNumber(G27,Table_SourceData_Dairy_Duration[Animal class j],Table_SourceData_Dairy_Duration[Duration (weaned)])</f>
        <v>281</v>
      </c>
      <c r="H28" s="75" cm="1">
        <f t="array" ref="H28">Common_InputFunctions.Utility_LookupValueInTableNumber(H27,Table_SourceData_Dairy_Duration[Animal class j],Table_SourceData_Dairy_Duration[Duration (weaned)])</f>
        <v>365</v>
      </c>
      <c r="I28" s="75" cm="1">
        <f t="array" ref="I28">Common_InputFunctions.Utility_LookupValueInTableNumber(I27,Table_SourceData_Dairy_Duration[Animal class j],Table_SourceData_Dairy_Duration[Duration (weaned)])</f>
        <v>281</v>
      </c>
      <c r="J28" s="16" t="s">
        <v>112</v>
      </c>
      <c r="K28" s="16"/>
      <c r="L28" s="16"/>
      <c r="M28" s="16"/>
      <c r="N28" s="16"/>
      <c r="S28" s="21"/>
    </row>
    <row r="29" spans="1:19" ht="20.100000000000001" customHeight="1" x14ac:dyDescent="0.25">
      <c r="A29" s="6" t="s">
        <v>2</v>
      </c>
      <c r="D29" s="1" t="str">
        <f>"Average duration of stay between " &amp; TEXT(X_Cell_Site_StartDate, "dd mmm yy") &amp; " and " &amp; TEXT(X_Cell_Site_EndDate, "dd mmm yy") &amp; " pre-weaned livestock"</f>
        <v>Average duration of stay between NO - Not in leaching zone and 02 Nov 00 pre-weaned livestock</v>
      </c>
      <c r="E29" s="15">
        <f>365-E28</f>
        <v>0</v>
      </c>
      <c r="F29" s="15">
        <f t="shared" ref="F29:I29" si="0">365-F28</f>
        <v>0</v>
      </c>
      <c r="G29" s="15">
        <f t="shared" si="0"/>
        <v>84</v>
      </c>
      <c r="H29" s="15">
        <f t="shared" si="0"/>
        <v>0</v>
      </c>
      <c r="I29" s="15">
        <f t="shared" si="0"/>
        <v>84</v>
      </c>
      <c r="J29" s="16" t="s">
        <v>112</v>
      </c>
      <c r="K29" s="16"/>
      <c r="L29" s="16"/>
      <c r="M29" s="16"/>
      <c r="N29" s="16"/>
      <c r="S29" s="21"/>
    </row>
    <row r="30" spans="1:19" ht="20.100000000000001" customHeight="1" x14ac:dyDescent="0.25">
      <c r="A30" s="5" t="str">
        <f>HYPERLINK("#'3.3.1.1-2 Enteric Methane'!A1", "3.3.1.1-2 Enteric methane")</f>
        <v>3.3.1.1-2 Enteric methane</v>
      </c>
      <c r="S30" s="21"/>
    </row>
    <row r="31" spans="1:19" ht="20.100000000000001" customHeight="1" x14ac:dyDescent="0.25">
      <c r="A31" s="5" t="str">
        <f>HYPERLINK("#'4.3.1.1-2 Methane'!A1", "4.3.1.1-2 Manure methane")</f>
        <v>4.3.1.1-2 Manure methane</v>
      </c>
      <c r="S31" s="21"/>
    </row>
    <row r="32" spans="1:19" ht="20.100000000000001" customHeight="1" x14ac:dyDescent="0.25">
      <c r="A32" s="5" t="str">
        <f>HYPERLINK("#'4.3.1.3-4 Direct N20'!A1", "4.3.1.3-4 Direct N20")</f>
        <v>4.3.1.3-4 Direct N20</v>
      </c>
      <c r="C32" s="89"/>
      <c r="D32" s="89"/>
      <c r="E32" s="89"/>
      <c r="F32" s="89"/>
      <c r="G32" s="89"/>
      <c r="H32" s="89"/>
      <c r="I32" s="89"/>
      <c r="J32" s="89"/>
      <c r="K32" s="89"/>
      <c r="L32" s="89"/>
      <c r="M32" s="89"/>
      <c r="N32" s="89"/>
      <c r="O32" s="89"/>
      <c r="S32" s="21"/>
    </row>
    <row r="33" spans="1:19" ht="20.100000000000001" customHeight="1" x14ac:dyDescent="0.25">
      <c r="A33" s="5" t="str">
        <f>HYPERLINK("#'4.3.1.5 Atmos deposition'!A1", "4.3.1.5 Atmos deposition")</f>
        <v>4.3.1.5 Atmos deposition</v>
      </c>
      <c r="D33" s="2" t="s">
        <v>309</v>
      </c>
      <c r="S33" s="21"/>
    </row>
    <row r="34" spans="1:19" ht="20.100000000000001" customHeight="1" x14ac:dyDescent="0.25">
      <c r="A34" s="5" t="str">
        <f>HYPERLINK("#'4.3.1.6-7 Leaching and runoff'!A1", "4.3.1.6-7 Leaching &amp; runoff")</f>
        <v>4.3.1.6-7 Leaching &amp; runoff</v>
      </c>
      <c r="D34" s="78"/>
      <c r="S34" s="21"/>
    </row>
    <row r="35" spans="1:19" ht="20.100000000000001" customHeight="1" x14ac:dyDescent="0.25">
      <c r="A35" s="5" t="str">
        <f>HYPERLINK("#'4.3.1.8 Manure applied to soils'!A1", "4.3.1.8 Manure applied to soils")</f>
        <v>4.3.1.8 Manure applied to soils</v>
      </c>
      <c r="D35" s="98" t="s">
        <v>302</v>
      </c>
      <c r="E35" s="81" t="s">
        <v>295</v>
      </c>
      <c r="F35" s="81" t="s">
        <v>296</v>
      </c>
      <c r="G35" s="81" t="s">
        <v>297</v>
      </c>
      <c r="H35" s="81" t="s">
        <v>298</v>
      </c>
      <c r="I35" s="81" t="s">
        <v>299</v>
      </c>
      <c r="S35" s="21"/>
    </row>
    <row r="36" spans="1:19" ht="20.100000000000001" customHeight="1" x14ac:dyDescent="0.25">
      <c r="A36" s="5" t="str">
        <f>HYPERLINK("#'4.3.1.9 Soil direct N2O'!A1", "4.3.1.9 Soil direct N2O")</f>
        <v>4.3.1.9 Soil direct N2O</v>
      </c>
      <c r="D36" s="1" t="s">
        <v>310</v>
      </c>
      <c r="E36" s="15">
        <f>SourceData_Dairy_DryMatterDigestibility_Data</f>
        <v>0.75</v>
      </c>
      <c r="F36" s="15">
        <f>SourceData_Dairy_DryMatterDigestibility_Data</f>
        <v>0.75</v>
      </c>
      <c r="G36" s="15">
        <f>SourceData_Dairy_DryMatterDigestibility_Data</f>
        <v>0.75</v>
      </c>
      <c r="H36" s="15">
        <f>SourceData_Dairy_DryMatterDigestibility_Data</f>
        <v>0.75</v>
      </c>
      <c r="I36" s="15">
        <f>SourceData_Dairy_DryMatterDigestibility_Data</f>
        <v>0.75</v>
      </c>
      <c r="J36" s="16" t="s">
        <v>311</v>
      </c>
      <c r="K36" s="16"/>
      <c r="L36" s="16"/>
      <c r="M36" s="16"/>
      <c r="N36" s="16"/>
      <c r="S36" s="21"/>
    </row>
    <row r="37" spans="1:19" ht="20.100000000000001" customHeight="1" x14ac:dyDescent="0.25">
      <c r="A37" s="5" t="str">
        <f>HYPERLINK("#'4.3.1.10-11 Soil Atmos Dep'!A1", "4.3.1.10-11 Soil Atmos Deposition")</f>
        <v>4.3.1.10-11 Soil Atmos Deposition</v>
      </c>
      <c r="D37" s="1" t="s">
        <v>312</v>
      </c>
      <c r="E37" s="15">
        <f>SourceData_Dairy_CrudeProtein_Data</f>
        <v>0.2</v>
      </c>
      <c r="F37" s="15">
        <f>SourceData_Dairy_CrudeProtein_Data</f>
        <v>0.2</v>
      </c>
      <c r="G37" s="15">
        <f>SourceData_Dairy_CrudeProtein_Data</f>
        <v>0.2</v>
      </c>
      <c r="H37" s="15">
        <f>SourceData_Dairy_CrudeProtein_Data</f>
        <v>0.2</v>
      </c>
      <c r="I37" s="15">
        <f>SourceData_Dairy_CrudeProtein_Data</f>
        <v>0.2</v>
      </c>
      <c r="J37" s="16" t="s">
        <v>311</v>
      </c>
      <c r="L37" s="16"/>
      <c r="M37" s="16"/>
      <c r="N37" s="16"/>
      <c r="S37" s="21"/>
    </row>
    <row r="38" spans="1:19" ht="20.100000000000001" customHeight="1" x14ac:dyDescent="0.25">
      <c r="A38" s="5" t="str">
        <f>HYPERLINK("#'4.3.1.12-13 Soil leach runoff'!A1", "4.3.1.12-13 Soil leach &amp; runoff")</f>
        <v>4.3.1.12-13 Soil leach &amp; runoff</v>
      </c>
      <c r="M38" s="16"/>
      <c r="N38" s="16"/>
      <c r="S38" s="21"/>
    </row>
    <row r="39" spans="1:19" ht="20.100000000000001" customHeight="1" x14ac:dyDescent="0.25">
      <c r="A39" s="5" t="str">
        <f>HYPERLINK("#'5.1.1.1-2 Inorganic fert N2O'!A1", "5.1.1.1-2 Inorganic fert N2O")</f>
        <v>5.1.1.1-2 Inorganic fert N2O</v>
      </c>
      <c r="D39" s="98" t="s">
        <v>307</v>
      </c>
      <c r="E39" s="81" t="s">
        <v>295</v>
      </c>
      <c r="F39" s="81" t="s">
        <v>296</v>
      </c>
      <c r="G39" s="81" t="s">
        <v>297</v>
      </c>
      <c r="H39" s="81" t="s">
        <v>298</v>
      </c>
      <c r="I39" s="81" t="s">
        <v>299</v>
      </c>
      <c r="S39" s="21"/>
    </row>
    <row r="40" spans="1:19" ht="20.100000000000001" customHeight="1" x14ac:dyDescent="0.25">
      <c r="A40" s="5" t="str">
        <f>HYPERLINK("#'5.1.1.3-4 Inorganic fert CO2'!A1", "5.1.1.3-4 Inorganic fert CO2")</f>
        <v>5.1.1.3-4 Inorganic fert CO2</v>
      </c>
      <c r="D40" s="1" t="s">
        <v>310</v>
      </c>
      <c r="E40" s="75">
        <f>SourceData_Dairy_DryMatterDigestibility_Data</f>
        <v>0.75</v>
      </c>
      <c r="F40" s="75">
        <f>SourceData_Dairy_DryMatterDigestibility_Data</f>
        <v>0.75</v>
      </c>
      <c r="G40" s="75">
        <f>SourceData_Dairy_DryMatterDigestibility_Data</f>
        <v>0.75</v>
      </c>
      <c r="H40" s="75">
        <f>SourceData_Dairy_DryMatterDigestibility_Data</f>
        <v>0.75</v>
      </c>
      <c r="I40" s="75">
        <f>SourceData_Dairy_DryMatterDigestibility_Data</f>
        <v>0.75</v>
      </c>
      <c r="J40" s="16" t="s">
        <v>311</v>
      </c>
      <c r="K40" s="16"/>
      <c r="S40" s="21"/>
    </row>
    <row r="41" spans="1:19" ht="20.100000000000001" customHeight="1" x14ac:dyDescent="0.25">
      <c r="A41" s="5" t="str">
        <f>HYPERLINK("#'5.2.1.1-2 Organic Fert N2O'!A1", "5.2.1.1-2 Organic fert N2O")</f>
        <v>5.2.1.1-2 Organic fert N2O</v>
      </c>
      <c r="D41" s="1" t="s">
        <v>312</v>
      </c>
      <c r="E41" s="75">
        <f>SourceData_Dairy_CrudeProtein_Data</f>
        <v>0.2</v>
      </c>
      <c r="F41" s="75">
        <f>SourceData_Dairy_CrudeProtein_Data</f>
        <v>0.2</v>
      </c>
      <c r="G41" s="75">
        <f>SourceData_Dairy_CrudeProtein_Data</f>
        <v>0.2</v>
      </c>
      <c r="H41" s="75">
        <f>SourceData_Dairy_CrudeProtein_Data</f>
        <v>0.2</v>
      </c>
      <c r="I41" s="75">
        <f>SourceData_Dairy_CrudeProtein_Data</f>
        <v>0.2</v>
      </c>
      <c r="J41" s="16" t="s">
        <v>311</v>
      </c>
      <c r="L41" s="16"/>
      <c r="S41" s="21"/>
    </row>
    <row r="42" spans="1:19" ht="20.100000000000001" customHeight="1" x14ac:dyDescent="0.25">
      <c r="A42" s="5" t="str">
        <f>HYPERLINK("#'5.3.1.1-2 Lime CO2'!A1", "5.3.1.1-2 Lime CO2")</f>
        <v>5.3.1.1-2 Lime CO2</v>
      </c>
      <c r="L42" s="16"/>
      <c r="M42" s="16"/>
      <c r="N42" s="16"/>
      <c r="S42" s="21"/>
    </row>
    <row r="43" spans="1:19" ht="20.100000000000001" customHeight="1" x14ac:dyDescent="0.25">
      <c r="A43" s="5" t="str">
        <f>HYPERLINK("#'5.4.1.1-4 Atmos deposition'!A1", "5.4.1.1-4 Atmos. deposition")</f>
        <v>5.4.1.1-4 Atmos. deposition</v>
      </c>
      <c r="S43" s="21"/>
    </row>
    <row r="44" spans="1:19" ht="20.100000000000001" customHeight="1" x14ac:dyDescent="0.25">
      <c r="A44" s="5" t="str">
        <f>HYPERLINK("#'5.5.1.1-2 Leaching and runoff'!A1", "5.5.1.1-2 Leaching &amp; runoff")</f>
        <v>5.5.1.1-2 Leaching &amp; runoff</v>
      </c>
      <c r="C44" s="89"/>
      <c r="D44" s="89"/>
      <c r="E44" s="89"/>
      <c r="F44" s="89"/>
      <c r="G44" s="89"/>
      <c r="H44" s="89"/>
      <c r="I44" s="89"/>
      <c r="J44" s="89"/>
      <c r="K44" s="89"/>
      <c r="L44" s="89"/>
      <c r="M44" s="89"/>
      <c r="N44" s="89"/>
      <c r="O44" s="89"/>
      <c r="S44" s="21"/>
    </row>
    <row r="45" spans="1:19" ht="20.100000000000001" customHeight="1" x14ac:dyDescent="0.25">
      <c r="A45" s="5" t="str">
        <f>HYPERLINK("#'6.2.1.1-2 Pasture residue N2O'!A1", "6.2.1.1-2 Pasture residue N2O")</f>
        <v>6.2.1.1-2 Pasture residue N2O</v>
      </c>
      <c r="D45" s="2" t="s">
        <v>313</v>
      </c>
      <c r="E45" s="24"/>
      <c r="F45" s="24"/>
      <c r="G45" s="24"/>
      <c r="H45" s="24"/>
      <c r="I45" s="24"/>
      <c r="J45" s="24"/>
      <c r="K45" s="24"/>
      <c r="L45" s="24"/>
      <c r="M45" s="24"/>
      <c r="N45" s="24"/>
      <c r="S45" s="21"/>
    </row>
    <row r="46" spans="1:19" ht="20.100000000000001" customHeight="1" x14ac:dyDescent="0.25">
      <c r="A46" s="5" t="str">
        <f>HYPERLINK("#'6.3.1.1-2 Leach runoff pasture'!A1", "6.3.1.1-2 Leach &amp; runoff (pasture)")</f>
        <v>6.3.1.1-2 Leach &amp; runoff (pasture)</v>
      </c>
      <c r="G46" s="2"/>
      <c r="H46" s="2"/>
      <c r="I46" s="2"/>
      <c r="J46" s="101"/>
      <c r="K46" s="101"/>
      <c r="L46" s="101"/>
      <c r="M46" s="101"/>
      <c r="N46" s="101"/>
      <c r="S46" s="21"/>
    </row>
    <row r="47" spans="1:19" ht="20.100000000000001" customHeight="1" x14ac:dyDescent="0.25">
      <c r="A47" s="5" t="str">
        <f>HYPERLINK("#'8.1.1.1-2 Transport fuel'!A1", "8.1.1.1-2 Transport fuel")</f>
        <v>8.1.1.1-2 Transport fuel</v>
      </c>
      <c r="D47" s="1" t="s">
        <v>314</v>
      </c>
      <c r="E47" s="13" t="s">
        <v>315</v>
      </c>
      <c r="F47" s="16" t="s">
        <v>100</v>
      </c>
      <c r="S47" s="21"/>
    </row>
    <row r="48" spans="1:19" ht="20.100000000000001" customHeight="1" x14ac:dyDescent="0.25">
      <c r="A48" s="5" t="str">
        <f>HYPERLINK("#'8.2.1.1-2 Stationary fuel'!A1", "8.2.1.1-2 Stationary fuel")</f>
        <v>8.2.1.1-2 Stationary fuel</v>
      </c>
      <c r="S48" s="21"/>
    </row>
    <row r="49" spans="1:19" ht="20.100000000000001" customHeight="1" x14ac:dyDescent="0.25">
      <c r="A49" s="5" t="str">
        <f>HYPERLINK("#'10.1.1-2 Solid waste treatment'!A1", "10.1.1.1-2 Solid waste")</f>
        <v>10.1.1.1-2 Solid waste</v>
      </c>
      <c r="E49" s="81" t="s">
        <v>295</v>
      </c>
      <c r="S49" s="21"/>
    </row>
    <row r="50" spans="1:19" ht="20.100000000000001" customHeight="1" x14ac:dyDescent="0.25">
      <c r="A50" s="5" t="str">
        <f>HYPERLINK("#'14.1.1-2 Purchased electricity'!A1", "14.1.1-2 Purchased electricity")</f>
        <v>14.1.1-2 Purchased electricity</v>
      </c>
      <c r="D50" s="1" t="s">
        <v>316</v>
      </c>
      <c r="E50" s="75">
        <v>20</v>
      </c>
      <c r="F50" s="16" t="str">
        <f>IF(X_Cell_Dairy_MilkProductionUnit="Litres of milk", "litres/head/day", "kg milk solids/head/day")</f>
        <v>litres/head/day</v>
      </c>
      <c r="S50" s="21"/>
    </row>
    <row r="51" spans="1:19" ht="20.100000000000001" customHeight="1" x14ac:dyDescent="0.25">
      <c r="A51" s="5" t="str">
        <f>HYPERLINK("#'15 Scope 3'!A1", "15 Scope 3")</f>
        <v>15 Scope 3</v>
      </c>
      <c r="E51" s="2"/>
      <c r="F51" s="2"/>
      <c r="S51" s="21"/>
    </row>
    <row r="52" spans="1:19" ht="20.100000000000001" customHeight="1" x14ac:dyDescent="0.25">
      <c r="A52" s="5" t="str">
        <f>HYPERLINK("#'Calcs - Manure sent off-site'!A1", "Calcs - Manure sent off-site")</f>
        <v>Calcs - Manure sent off-site</v>
      </c>
      <c r="D52" s="76" t="s">
        <v>317</v>
      </c>
      <c r="E52" s="81" t="s">
        <v>318</v>
      </c>
      <c r="F52" s="81" t="s">
        <v>319</v>
      </c>
      <c r="S52" s="21"/>
    </row>
    <row r="53" spans="1:19" ht="20.100000000000001" customHeight="1" x14ac:dyDescent="0.25">
      <c r="D53" s="1" t="s">
        <v>320</v>
      </c>
      <c r="E53" s="102">
        <f>SourceData_Dairy_FatContentInMilk_Data/100</f>
        <v>0.04</v>
      </c>
      <c r="F53" s="103">
        <f>SourceData_Dairy_FatContentInMilk_Data/100</f>
        <v>0.04</v>
      </c>
      <c r="G53" s="16" t="s">
        <v>149</v>
      </c>
      <c r="S53" s="21"/>
    </row>
    <row r="54" spans="1:19" ht="20.100000000000001" customHeight="1" x14ac:dyDescent="0.25">
      <c r="D54" s="1" t="s">
        <v>321</v>
      </c>
      <c r="E54" s="102">
        <f>SourceData_Dairy_ProteinContentInMilk_Data/100</f>
        <v>3.3000000000000002E-2</v>
      </c>
      <c r="F54" s="103">
        <f>SourceData_Dairy_ProteinContentInMilk_Data/100</f>
        <v>3.3000000000000002E-2</v>
      </c>
      <c r="G54" s="16" t="s">
        <v>149</v>
      </c>
      <c r="S54" s="21"/>
    </row>
    <row r="55" spans="1:19" ht="20.100000000000001" customHeight="1" x14ac:dyDescent="0.25">
      <c r="A55" s="83" t="s">
        <v>1</v>
      </c>
      <c r="S55" s="21"/>
    </row>
    <row r="56" spans="1:19" ht="20.100000000000001" customHeight="1" x14ac:dyDescent="0.25">
      <c r="A56" s="5" t="str">
        <f>HYPERLINK("#'Constants - Dairy'!A1", "Constants - Dairy")</f>
        <v>Constants - Dairy</v>
      </c>
      <c r="S56" s="21"/>
    </row>
    <row r="57" spans="1:19" ht="20.100000000000001" customHeight="1" x14ac:dyDescent="0.25">
      <c r="A57" s="5" t="str">
        <f>HYPERLINK("#'Constants - Ag Residue'!A1", "Constants - Ag residue")</f>
        <v>Constants - Ag residue</v>
      </c>
      <c r="C57" s="89"/>
      <c r="D57" s="89"/>
      <c r="E57" s="89"/>
      <c r="F57" s="89"/>
      <c r="G57" s="89"/>
      <c r="H57" s="89"/>
      <c r="I57" s="89"/>
      <c r="J57" s="89"/>
      <c r="K57" s="89"/>
      <c r="L57" s="89"/>
      <c r="M57" s="89"/>
      <c r="N57" s="89"/>
      <c r="O57" s="89"/>
      <c r="S57" s="21"/>
    </row>
    <row r="58" spans="1:19" ht="20.100000000000001" customHeight="1" x14ac:dyDescent="0.25">
      <c r="A58" s="5" t="str">
        <f>HYPERLINK("#'Constants - Common Livestock'!A1", "Constants - Common Livestock")</f>
        <v>Constants - Common Livestock</v>
      </c>
      <c r="D58" s="2" t="s">
        <v>322</v>
      </c>
      <c r="S58" s="21"/>
    </row>
    <row r="59" spans="1:19" ht="20.100000000000001" customHeight="1" x14ac:dyDescent="0.25">
      <c r="A59" s="5" t="str">
        <f>HYPERLINK("#'Constants - Electricity'!A1", "Constants - Electricity")</f>
        <v>Constants - Electricity</v>
      </c>
      <c r="D59" s="78" t="s">
        <v>323</v>
      </c>
      <c r="S59" s="21"/>
    </row>
    <row r="60" spans="1:19" ht="20.100000000000001" customHeight="1" x14ac:dyDescent="0.25">
      <c r="A60" s="5" t="str">
        <f>HYPERLINK("#'Constants - Fertiliser'!A1", "Constants - Fertiliser")</f>
        <v>Constants - Fertiliser</v>
      </c>
      <c r="D60" s="1" t="s">
        <v>324</v>
      </c>
      <c r="E60" s="13" t="s">
        <v>325</v>
      </c>
      <c r="F60" s="16" t="s">
        <v>100</v>
      </c>
      <c r="O60" s="24"/>
      <c r="S60" s="21"/>
    </row>
    <row r="61" spans="1:19" ht="20.100000000000001" customHeight="1" x14ac:dyDescent="0.25">
      <c r="A61" s="5" t="str">
        <f>HYPERLINK("#'Constants - Fuel'!A1", "Constants - Fuel")</f>
        <v>Constants - Fuel</v>
      </c>
      <c r="O61" s="24"/>
      <c r="S61" s="21"/>
    </row>
    <row r="62" spans="1:19" ht="20.100000000000001" customHeight="1" x14ac:dyDescent="0.25">
      <c r="A62" s="5" t="str">
        <f>HYPERLINK("#'Constants - Scope 3'!A1", "Constants - Scope 3")</f>
        <v>Constants - Scope 3</v>
      </c>
      <c r="D62" s="98" t="s">
        <v>302</v>
      </c>
      <c r="E62" s="81" t="s">
        <v>295</v>
      </c>
      <c r="F62" s="81" t="s">
        <v>296</v>
      </c>
      <c r="G62" s="81" t="s">
        <v>297</v>
      </c>
      <c r="H62" s="81" t="s">
        <v>298</v>
      </c>
      <c r="I62" s="81" t="s">
        <v>299</v>
      </c>
      <c r="O62" s="24"/>
      <c r="S62" s="21"/>
    </row>
    <row r="63" spans="1:19" ht="20.100000000000001" customHeight="1" x14ac:dyDescent="0.25">
      <c r="A63" s="5" t="str">
        <f>HYPERLINK("#'Constants - Common'!A1", "Constants - Common")</f>
        <v>Constants - Common</v>
      </c>
      <c r="D63" s="1" t="s">
        <v>164</v>
      </c>
      <c r="E63" s="102">
        <f>Common_InputFunctions.Utility_LookupValueInTableNumber(X_Cell_Dairy_ProductionSystemTemplate, Table_SourceData_Dairy_ProductionSystemTemplates[Area],Table_SourceData_Dairy_ProductionSystemTemplates[Pasture])</f>
        <v>0.53400000000000003</v>
      </c>
      <c r="F63" s="102">
        <f>Common_InputFunctions.Utility_LookupValueInTableNumber(X_Cell_Dairy_ProductionSystemTemplate, Table_SourceData_Dairy_ProductionSystemTemplates[Area],Table_SourceData_Dairy_ProductionSystemTemplates[Pasture])</f>
        <v>0.53400000000000003</v>
      </c>
      <c r="G63" s="102">
        <f>Common_InputFunctions.Utility_LookupValueInTableNumber(X_Cell_Dairy_ProductionSystemTemplate, Table_SourceData_Dairy_ProductionSystemTemplates[Area],Table_SourceData_Dairy_ProductionSystemTemplates[Pasture])</f>
        <v>0.53400000000000003</v>
      </c>
      <c r="H63" s="102">
        <f>Common_InputFunctions.Utility_LookupValueInTableNumber(X_Cell_Dairy_ProductionSystemTemplate, Table_SourceData_Dairy_ProductionSystemTemplates[Area],Table_SourceData_Dairy_ProductionSystemTemplates[Pasture])</f>
        <v>0.53400000000000003</v>
      </c>
      <c r="I63" s="102">
        <f>Common_InputFunctions.Utility_LookupValueInTableNumber(X_Cell_Dairy_ProductionSystemTemplate, Table_SourceData_Dairy_ProductionSystemTemplates[Area],Table_SourceData_Dairy_ProductionSystemTemplates[Pasture])</f>
        <v>0.53400000000000003</v>
      </c>
      <c r="J63" s="16" t="s">
        <v>326</v>
      </c>
      <c r="K63" s="16"/>
      <c r="L63" s="16"/>
      <c r="M63" s="16"/>
      <c r="N63" s="16"/>
      <c r="O63" s="24"/>
      <c r="S63" s="21"/>
    </row>
    <row r="64" spans="1:19" ht="20.100000000000001" customHeight="1" x14ac:dyDescent="0.25">
      <c r="A64" s="5" t="str">
        <f>HYPERLINK("#'Constants - Solid Waste'!A1", "Constants - Solid Waste")</f>
        <v>Constants - Solid Waste</v>
      </c>
      <c r="D64" s="1" t="s">
        <v>327</v>
      </c>
      <c r="E64" s="102">
        <f>Common_InputFunctions.Utility_LookupValueInTableNumber(X_Cell_Dairy_ProductionSystemTemplate, Table_SourceData_Dairy_ProductionSystemTemplates[Area],Table_SourceData_Dairy_ProductionSystemTemplates[Milking shed])</f>
        <v>0.11</v>
      </c>
      <c r="F64" s="102">
        <f>Common_InputFunctions.Utility_LookupValueInTableNumber(X_Cell_Dairy_ProductionSystemTemplate, Table_SourceData_Dairy_ProductionSystemTemplates[Area],Table_SourceData_Dairy_ProductionSystemTemplates[Milking shed])</f>
        <v>0.11</v>
      </c>
      <c r="G64" s="102">
        <f>Common_InputFunctions.Utility_LookupValueInTableNumber(X_Cell_Dairy_ProductionSystemTemplate, Table_SourceData_Dairy_ProductionSystemTemplates[Area],Table_SourceData_Dairy_ProductionSystemTemplates[Milking shed])</f>
        <v>0.11</v>
      </c>
      <c r="H64" s="102">
        <f>Common_InputFunctions.Utility_LookupValueInTableNumber(X_Cell_Dairy_ProductionSystemTemplate, Table_SourceData_Dairy_ProductionSystemTemplates[Area],Table_SourceData_Dairy_ProductionSystemTemplates[Milking shed])</f>
        <v>0.11</v>
      </c>
      <c r="I64" s="102">
        <f>Common_InputFunctions.Utility_LookupValueInTableNumber(X_Cell_Dairy_ProductionSystemTemplate, Table_SourceData_Dairy_ProductionSystemTemplates[Area],Table_SourceData_Dairy_ProductionSystemTemplates[Milking shed])</f>
        <v>0.11</v>
      </c>
      <c r="J64" s="16" t="s">
        <v>326</v>
      </c>
      <c r="K64" s="16"/>
      <c r="L64" s="16"/>
      <c r="M64" s="16"/>
      <c r="N64" s="16"/>
      <c r="O64" s="24"/>
      <c r="S64" s="21"/>
    </row>
    <row r="65" spans="1:19" ht="20.100000000000001" customHeight="1" x14ac:dyDescent="0.25">
      <c r="A65" s="5" t="str">
        <f>HYPERLINK("#'Acknowledgements'!A1", "Acknowledgements")</f>
        <v>Acknowledgements</v>
      </c>
      <c r="D65" s="1" t="s">
        <v>328</v>
      </c>
      <c r="E65" s="102">
        <f>Common_InputFunctions.Utility_LookupValueInTableNumber(X_Cell_Dairy_ProductionSystemTemplate, Table_SourceData_Dairy_ProductionSystemTemplates[Area],Table_SourceData_Dairy_ProductionSystemTemplates[Feedpad])</f>
        <v>0.35599999999999998</v>
      </c>
      <c r="F65" s="102">
        <f>Common_InputFunctions.Utility_LookupValueInTableNumber(X_Cell_Dairy_ProductionSystemTemplate, Table_SourceData_Dairy_ProductionSystemTemplates[Area],Table_SourceData_Dairy_ProductionSystemTemplates[Feedpad])</f>
        <v>0.35599999999999998</v>
      </c>
      <c r="G65" s="102">
        <f>Common_InputFunctions.Utility_LookupValueInTableNumber(X_Cell_Dairy_ProductionSystemTemplate, Table_SourceData_Dairy_ProductionSystemTemplates[Area],Table_SourceData_Dairy_ProductionSystemTemplates[Feedpad])</f>
        <v>0.35599999999999998</v>
      </c>
      <c r="H65" s="102">
        <f>Common_InputFunctions.Utility_LookupValueInTableNumber(X_Cell_Dairy_ProductionSystemTemplate, Table_SourceData_Dairy_ProductionSystemTemplates[Area],Table_SourceData_Dairy_ProductionSystemTemplates[Feedpad])</f>
        <v>0.35599999999999998</v>
      </c>
      <c r="I65" s="102">
        <f>Common_InputFunctions.Utility_LookupValueInTableNumber(X_Cell_Dairy_ProductionSystemTemplate, Table_SourceData_Dairy_ProductionSystemTemplates[Area],Table_SourceData_Dairy_ProductionSystemTemplates[Feedpad])</f>
        <v>0.35599999999999998</v>
      </c>
      <c r="J65" s="16" t="s">
        <v>326</v>
      </c>
      <c r="K65" s="16"/>
      <c r="L65" s="16"/>
      <c r="M65" s="16"/>
      <c r="N65" s="16"/>
      <c r="O65" s="24"/>
    </row>
    <row r="66" spans="1:19" ht="20.100000000000001" customHeight="1" x14ac:dyDescent="0.25">
      <c r="O66" s="24"/>
    </row>
    <row r="67" spans="1:19" ht="20.100000000000001" customHeight="1" x14ac:dyDescent="0.25">
      <c r="D67" s="98" t="s">
        <v>307</v>
      </c>
      <c r="E67" s="81" t="s">
        <v>295</v>
      </c>
      <c r="F67" s="81" t="s">
        <v>296</v>
      </c>
      <c r="G67" s="81" t="s">
        <v>297</v>
      </c>
      <c r="H67" s="81" t="s">
        <v>298</v>
      </c>
      <c r="I67" s="81" t="s">
        <v>299</v>
      </c>
      <c r="O67" s="24"/>
    </row>
    <row r="68" spans="1:19" ht="20.100000000000001" customHeight="1" x14ac:dyDescent="0.25">
      <c r="D68" s="1" t="s">
        <v>164</v>
      </c>
      <c r="E68" s="104">
        <f>Common_InputFunctions.Utility_LookupValueInTableNumber(X_Cell_Dairy_ProductionSystemTemplate, Table_SourceData_Dairy_ProductionSystemTemplates[Area],Table_SourceData_Dairy_ProductionSystemTemplates[Pasture])</f>
        <v>0.53400000000000003</v>
      </c>
      <c r="F68" s="104">
        <f>Common_InputFunctions.Utility_LookupValueInTableNumber(X_Cell_Dairy_ProductionSystemTemplate, Table_SourceData_Dairy_ProductionSystemTemplates[Area],Table_SourceData_Dairy_ProductionSystemTemplates[Pasture])</f>
        <v>0.53400000000000003</v>
      </c>
      <c r="G68" s="104">
        <f>Common_InputFunctions.Utility_LookupValueInTableNumber(X_Cell_Dairy_ProductionSystemTemplate, Table_SourceData_Dairy_ProductionSystemTemplates[Area],Table_SourceData_Dairy_ProductionSystemTemplates[Pasture])</f>
        <v>0.53400000000000003</v>
      </c>
      <c r="H68" s="104">
        <f>Common_InputFunctions.Utility_LookupValueInTableNumber(X_Cell_Dairy_ProductionSystemTemplate, Table_SourceData_Dairy_ProductionSystemTemplates[Area],Table_SourceData_Dairy_ProductionSystemTemplates[Pasture])</f>
        <v>0.53400000000000003</v>
      </c>
      <c r="I68" s="104">
        <f>Common_InputFunctions.Utility_LookupValueInTableNumber(X_Cell_Dairy_ProductionSystemTemplate, Table_SourceData_Dairy_ProductionSystemTemplates[Area],Table_SourceData_Dairy_ProductionSystemTemplates[Pasture])</f>
        <v>0.53400000000000003</v>
      </c>
      <c r="J68" s="16" t="s">
        <v>326</v>
      </c>
      <c r="K68" s="16"/>
      <c r="L68" s="16"/>
      <c r="M68" s="16"/>
      <c r="N68" s="16"/>
      <c r="O68" s="24"/>
    </row>
    <row r="69" spans="1:19" ht="20.100000000000001" customHeight="1" x14ac:dyDescent="0.25">
      <c r="D69" s="1" t="s">
        <v>327</v>
      </c>
      <c r="E69" s="104">
        <f>Common_InputFunctions.Utility_LookupValueInTableNumber(X_Cell_Dairy_ProductionSystemTemplate, Table_SourceData_Dairy_ProductionSystemTemplates[Area],Table_SourceData_Dairy_ProductionSystemTemplates[Milking shed])</f>
        <v>0.11</v>
      </c>
      <c r="F69" s="104">
        <f>Common_InputFunctions.Utility_LookupValueInTableNumber(X_Cell_Dairy_ProductionSystemTemplate, Table_SourceData_Dairy_ProductionSystemTemplates[Area],Table_SourceData_Dairy_ProductionSystemTemplates[Milking shed])</f>
        <v>0.11</v>
      </c>
      <c r="G69" s="104">
        <f>Common_InputFunctions.Utility_LookupValueInTableNumber(X_Cell_Dairy_ProductionSystemTemplate, Table_SourceData_Dairy_ProductionSystemTemplates[Area],Table_SourceData_Dairy_ProductionSystemTemplates[Milking shed])</f>
        <v>0.11</v>
      </c>
      <c r="H69" s="104">
        <f>Common_InputFunctions.Utility_LookupValueInTableNumber(X_Cell_Dairy_ProductionSystemTemplate, Table_SourceData_Dairy_ProductionSystemTemplates[Area],Table_SourceData_Dairy_ProductionSystemTemplates[Milking shed])</f>
        <v>0.11</v>
      </c>
      <c r="I69" s="104">
        <f>Common_InputFunctions.Utility_LookupValueInTableNumber(X_Cell_Dairy_ProductionSystemTemplate, Table_SourceData_Dairy_ProductionSystemTemplates[Area],Table_SourceData_Dairy_ProductionSystemTemplates[Milking shed])</f>
        <v>0.11</v>
      </c>
      <c r="J69" s="16" t="s">
        <v>326</v>
      </c>
      <c r="K69" s="16"/>
      <c r="L69" s="16"/>
      <c r="M69" s="16"/>
      <c r="N69" s="16"/>
      <c r="O69" s="24"/>
    </row>
    <row r="70" spans="1:19" ht="20.100000000000001" customHeight="1" x14ac:dyDescent="0.25">
      <c r="D70" s="1" t="s">
        <v>328</v>
      </c>
      <c r="E70" s="104">
        <f>Common_InputFunctions.Utility_LookupValueInTableNumber(X_Cell_Dairy_ProductionSystemTemplate, Table_SourceData_Dairy_ProductionSystemTemplates[Area],Table_SourceData_Dairy_ProductionSystemTemplates[Feedpad])</f>
        <v>0.35599999999999998</v>
      </c>
      <c r="F70" s="104">
        <f>Common_InputFunctions.Utility_LookupValueInTableNumber(X_Cell_Dairy_ProductionSystemTemplate, Table_SourceData_Dairy_ProductionSystemTemplates[Area],Table_SourceData_Dairy_ProductionSystemTemplates[Feedpad])</f>
        <v>0.35599999999999998</v>
      </c>
      <c r="G70" s="104">
        <f>Common_InputFunctions.Utility_LookupValueInTableNumber(X_Cell_Dairy_ProductionSystemTemplate, Table_SourceData_Dairy_ProductionSystemTemplates[Area],Table_SourceData_Dairy_ProductionSystemTemplates[Feedpad])</f>
        <v>0.35599999999999998</v>
      </c>
      <c r="H70" s="104">
        <f>Common_InputFunctions.Utility_LookupValueInTableNumber(X_Cell_Dairy_ProductionSystemTemplate, Table_SourceData_Dairy_ProductionSystemTemplates[Area],Table_SourceData_Dairy_ProductionSystemTemplates[Feedpad])</f>
        <v>0.35599999999999998</v>
      </c>
      <c r="I70" s="104">
        <f>Common_InputFunctions.Utility_LookupValueInTableNumber(X_Cell_Dairy_ProductionSystemTemplate, Table_SourceData_Dairy_ProductionSystemTemplates[Area],Table_SourceData_Dairy_ProductionSystemTemplates[Feedpad])</f>
        <v>0.35599999999999998</v>
      </c>
      <c r="J70" s="16" t="s">
        <v>326</v>
      </c>
      <c r="K70" s="16"/>
      <c r="L70" s="16"/>
      <c r="M70" s="16"/>
      <c r="N70" s="16"/>
      <c r="O70" s="24"/>
    </row>
    <row r="71" spans="1:19" ht="20.100000000000001" customHeight="1" x14ac:dyDescent="0.25">
      <c r="E71" s="105"/>
      <c r="O71" s="24"/>
    </row>
    <row r="72" spans="1:19" ht="20.100000000000001" customHeight="1" x14ac:dyDescent="0.25"/>
    <row r="73" spans="1:19" ht="20.100000000000001" customHeight="1" x14ac:dyDescent="0.25">
      <c r="C73" s="89"/>
      <c r="D73" s="89"/>
      <c r="E73" s="89"/>
      <c r="F73" s="89"/>
      <c r="G73" s="89"/>
      <c r="H73" s="89"/>
      <c r="I73" s="89"/>
      <c r="J73" s="89"/>
      <c r="K73" s="89"/>
      <c r="L73" s="89"/>
      <c r="M73" s="89"/>
      <c r="N73" s="89"/>
      <c r="O73" s="89"/>
    </row>
    <row r="74" spans="1:19" ht="20.100000000000001" customHeight="1" x14ac:dyDescent="0.25">
      <c r="D74" s="2" t="s">
        <v>329</v>
      </c>
      <c r="F74" s="106"/>
    </row>
    <row r="75" spans="1:19" ht="20.100000000000001" customHeight="1" x14ac:dyDescent="0.25">
      <c r="D75" s="78" t="str">
        <f>"From " &amp; $D$64</f>
        <v>From Milking shed</v>
      </c>
      <c r="O75" s="24"/>
    </row>
    <row r="76" spans="1:19" ht="20.100000000000001" customHeight="1" x14ac:dyDescent="0.25">
      <c r="O76" s="24"/>
    </row>
    <row r="77" spans="1:19" ht="20.100000000000001" customHeight="1" x14ac:dyDescent="0.25">
      <c r="D77" s="107" t="s">
        <v>330</v>
      </c>
      <c r="E77" s="81" t="s">
        <v>295</v>
      </c>
      <c r="F77" s="81" t="s">
        <v>296</v>
      </c>
      <c r="G77" s="81" t="s">
        <v>297</v>
      </c>
      <c r="H77" s="81" t="s">
        <v>298</v>
      </c>
      <c r="I77" s="81" t="s">
        <v>299</v>
      </c>
      <c r="J77" s="108" t="s">
        <v>331</v>
      </c>
      <c r="K77" s="108"/>
      <c r="L77" s="98" t="s">
        <v>332</v>
      </c>
      <c r="M77" s="98"/>
      <c r="N77" s="81"/>
      <c r="O77" s="24"/>
    </row>
    <row r="78" spans="1:19" ht="20.100000000000001" customHeight="1" x14ac:dyDescent="0.25">
      <c r="L78" s="109" t="s">
        <v>333</v>
      </c>
      <c r="M78" s="109" t="s">
        <v>334</v>
      </c>
      <c r="N78" s="109" t="s">
        <v>335</v>
      </c>
      <c r="O78" s="24"/>
    </row>
    <row r="79" spans="1:19" ht="20.100000000000001" customHeight="1" x14ac:dyDescent="0.25">
      <c r="D79" s="76" t="str">
        <f>'Constants - Dairy'!$D$8</f>
        <v>Anaerobic lagoon</v>
      </c>
      <c r="E79" s="18">
        <v>0.25</v>
      </c>
      <c r="F79" s="18">
        <v>0.25</v>
      </c>
      <c r="G79" s="18">
        <v>0.25</v>
      </c>
      <c r="H79" s="18">
        <v>0.25</v>
      </c>
      <c r="I79" s="18">
        <v>0.25</v>
      </c>
      <c r="J79" s="16" t="s">
        <v>326</v>
      </c>
      <c r="K79" s="16"/>
      <c r="L79" s="18">
        <v>0.25</v>
      </c>
      <c r="M79" s="18">
        <v>0.25</v>
      </c>
      <c r="N79" s="110">
        <f>1-SUM(L79:M79)</f>
        <v>0.5</v>
      </c>
      <c r="O79" s="24"/>
    </row>
    <row r="80" spans="1:19" ht="20.100000000000001" customHeight="1" x14ac:dyDescent="0.25">
      <c r="D80" s="111" t="str">
        <f>"Were solids separated from " &amp; D79 &amp; "?"</f>
        <v>Were solids separated from Anaerobic lagoon?</v>
      </c>
      <c r="E80" s="13" t="s">
        <v>336</v>
      </c>
      <c r="O80" s="24"/>
      <c r="S80" s="21"/>
    </row>
    <row r="81" spans="4:19" ht="20.100000000000001" customHeight="1" x14ac:dyDescent="0.25">
      <c r="D81" s="111" t="str">
        <f>"Percent solids separated from " &amp; D79 &amp; " (Method 1)"</f>
        <v>Percent solids separated from Anaerobic lagoon (Method 1)</v>
      </c>
      <c r="E81" s="110">
        <f>IF(X_Cell_Dairy_Stage1MMS_1_AnaerobicLagoon_SolidsSeparated="Yes", 20%, 0)</f>
        <v>0.2</v>
      </c>
      <c r="O81" s="24"/>
      <c r="S81" s="21"/>
    </row>
    <row r="82" spans="4:19" ht="20.100000000000001" customHeight="1" x14ac:dyDescent="0.25">
      <c r="D82" s="111" t="str">
        <f>"Percent solids separated from " &amp; D79 &amp; " (Method 2)"</f>
        <v>Percent solids separated from Anaerobic lagoon (Method 2)</v>
      </c>
      <c r="E82" s="18">
        <v>0.2</v>
      </c>
      <c r="O82" s="24"/>
      <c r="S82" s="21"/>
    </row>
    <row r="83" spans="4:19" ht="20.100000000000001" customHeight="1" x14ac:dyDescent="0.25">
      <c r="S83" s="21"/>
    </row>
    <row r="84" spans="4:19" ht="20.100000000000001" customHeight="1" x14ac:dyDescent="0.25">
      <c r="D84" s="76" t="str">
        <f>'Constants - Dairy'!$D$9</f>
        <v>Sump and dispersal system</v>
      </c>
      <c r="E84" s="18">
        <v>0.25</v>
      </c>
      <c r="F84" s="18">
        <v>0.25</v>
      </c>
      <c r="G84" s="18">
        <v>0.25</v>
      </c>
      <c r="H84" s="18">
        <v>0.25</v>
      </c>
      <c r="I84" s="18">
        <v>0.25</v>
      </c>
      <c r="J84" s="16" t="s">
        <v>326</v>
      </c>
      <c r="K84" s="16"/>
      <c r="L84" s="18">
        <v>0.25</v>
      </c>
      <c r="M84" s="18">
        <v>0.25</v>
      </c>
      <c r="N84" s="110">
        <f t="shared" ref="N84" si="1">1-SUM(L84:M84)</f>
        <v>0.5</v>
      </c>
      <c r="S84" s="21"/>
    </row>
    <row r="85" spans="4:19" ht="20.100000000000001" customHeight="1" x14ac:dyDescent="0.25">
      <c r="D85" s="111" t="str">
        <f>"Were solids separated from " &amp; D84 &amp; "?"</f>
        <v>Were solids separated from Sump and dispersal system?</v>
      </c>
      <c r="E85" s="13" t="s">
        <v>336</v>
      </c>
      <c r="S85" s="21"/>
    </row>
    <row r="86" spans="4:19" ht="20.100000000000001" customHeight="1" x14ac:dyDescent="0.25">
      <c r="D86" s="111" t="str">
        <f>"Percent solids separated from " &amp; D84 &amp; " (Method 1)"</f>
        <v>Percent solids separated from Sump and dispersal system (Method 1)</v>
      </c>
      <c r="E86" s="110">
        <f>IF(X_Cell_Dairy_Stage1MMS_1_SumpAndDispersal_SolidsSeparated="Yes", 20%, 0)</f>
        <v>0.2</v>
      </c>
      <c r="S86" s="21"/>
    </row>
    <row r="87" spans="4:19" ht="20.100000000000001" customHeight="1" x14ac:dyDescent="0.25">
      <c r="D87" s="111" t="str">
        <f>"Percent solids separated from " &amp; D84 &amp; " (Method 2)"</f>
        <v>Percent solids separated from Sump and dispersal system (Method 2)</v>
      </c>
      <c r="E87" s="18">
        <v>0.2</v>
      </c>
      <c r="S87" s="21"/>
    </row>
    <row r="88" spans="4:19" ht="20.100000000000001" customHeight="1" x14ac:dyDescent="0.25">
      <c r="S88" s="21"/>
    </row>
    <row r="89" spans="4:19" ht="20.100000000000001" customHeight="1" x14ac:dyDescent="0.25">
      <c r="D89" s="76" t="str">
        <f>'Constants - Dairy'!$D$10</f>
        <v>Drains to paddock</v>
      </c>
      <c r="E89" s="18">
        <v>0.25</v>
      </c>
      <c r="F89" s="18">
        <v>0.25</v>
      </c>
      <c r="G89" s="18">
        <v>0.25</v>
      </c>
      <c r="H89" s="18">
        <v>0.25</v>
      </c>
      <c r="I89" s="18">
        <v>0.25</v>
      </c>
      <c r="J89" s="16" t="s">
        <v>326</v>
      </c>
      <c r="K89" s="16"/>
      <c r="L89" s="18">
        <v>0.25</v>
      </c>
      <c r="M89" s="18">
        <v>0.25</v>
      </c>
      <c r="N89" s="110">
        <f>1-SUM(L89:M89)</f>
        <v>0.5</v>
      </c>
      <c r="S89" s="21"/>
    </row>
    <row r="90" spans="4:19" ht="20.100000000000001" customHeight="1" x14ac:dyDescent="0.25">
      <c r="D90" s="111" t="str">
        <f>"Were solids separated from " &amp; D89 &amp; "?"</f>
        <v>Were solids separated from Drains to paddock?</v>
      </c>
      <c r="E90" s="13" t="s">
        <v>336</v>
      </c>
      <c r="S90" s="21"/>
    </row>
    <row r="91" spans="4:19" ht="20.100000000000001" customHeight="1" x14ac:dyDescent="0.25">
      <c r="D91" s="111" t="str">
        <f>"Percent solids separated from " &amp; D89 &amp; " (Method 1)"</f>
        <v>Percent solids separated from Drains to paddock (Method 1)</v>
      </c>
      <c r="E91" s="110">
        <f>IF(X_Cell_Dairy_Stage1MMS_1_DrainsToPaddock_SolidsSeparated="Yes", 20%, 0)</f>
        <v>0.2</v>
      </c>
      <c r="S91" s="21"/>
    </row>
    <row r="92" spans="4:19" ht="20.100000000000001" customHeight="1" x14ac:dyDescent="0.25">
      <c r="D92" s="111" t="str">
        <f>"Percent solids separated from " &amp; D89 &amp; " (Method 2)"</f>
        <v>Percent solids separated from Drains to paddock (Method 2)</v>
      </c>
      <c r="E92" s="18">
        <v>0.2</v>
      </c>
      <c r="S92" s="21"/>
    </row>
    <row r="93" spans="4:19" ht="20.100000000000001" customHeight="1" x14ac:dyDescent="0.25">
      <c r="S93" s="21"/>
    </row>
    <row r="94" spans="4:19" ht="20.100000000000001" customHeight="1" x14ac:dyDescent="0.25">
      <c r="D94" s="76" t="str">
        <f>'Constants - Dairy'!$D$11 &amp; " (before solid separation)"</f>
        <v>Solid storage (before solid separation)</v>
      </c>
      <c r="E94" s="18">
        <v>0.25</v>
      </c>
      <c r="F94" s="18">
        <v>0.25</v>
      </c>
      <c r="G94" s="18">
        <v>0.25</v>
      </c>
      <c r="H94" s="18">
        <v>0.25</v>
      </c>
      <c r="I94" s="18">
        <v>0.25</v>
      </c>
      <c r="J94" s="16" t="s">
        <v>326</v>
      </c>
      <c r="K94" s="16"/>
      <c r="L94" s="18">
        <v>0.25</v>
      </c>
      <c r="M94" s="18">
        <v>0.25</v>
      </c>
      <c r="N94" s="110">
        <f t="shared" ref="N94" si="2">1-SUM(L94:M94)</f>
        <v>0.5</v>
      </c>
      <c r="S94" s="21"/>
    </row>
    <row r="95" spans="4:19" ht="20.100000000000001" customHeight="1" x14ac:dyDescent="0.25">
      <c r="D95" s="1" t="s">
        <v>337</v>
      </c>
      <c r="E95" s="110">
        <f>E94+(E79*X_Cell_Dairy_Stage1MMS_1_AnaerobicLagoon_AmountSeparated_Method1)+(E84*X_Cell_Dairy_Stage1MMS_1_SumpAndDispersal_AmountSeparated_Method1)+(E89*X_Cell_Dairy_Stage1MMS_1_DrainsToPaddock_AmountSeparated_Method1)</f>
        <v>0.39999999999999997</v>
      </c>
      <c r="F95" s="110">
        <f>F94+(F79*X_Cell_Dairy_Stage1MMS_1_AnaerobicLagoon_AmountSeparated_Method1)+(F84*X_Cell_Dairy_Stage1MMS_1_SumpAndDispersal_AmountSeparated_Method1)+(F89*X_Cell_Dairy_Stage1MMS_1_DrainsToPaddock_AmountSeparated_Method1)</f>
        <v>0.39999999999999997</v>
      </c>
      <c r="G95" s="110">
        <f>G94+(G79*X_Cell_Dairy_Stage1MMS_1_AnaerobicLagoon_AmountSeparated_Method1)+(G84*X_Cell_Dairy_Stage1MMS_1_SumpAndDispersal_AmountSeparated_Method1)+(G89*X_Cell_Dairy_Stage1MMS_1_DrainsToPaddock_AmountSeparated_Method1)</f>
        <v>0.39999999999999997</v>
      </c>
      <c r="H95" s="110">
        <f>H94+(H79*X_Cell_Dairy_Stage1MMS_1_AnaerobicLagoon_AmountSeparated_Method1)+(H84*X_Cell_Dairy_Stage1MMS_1_SumpAndDispersal_AmountSeparated_Method1)+(H89*X_Cell_Dairy_Stage1MMS_1_DrainsToPaddock_AmountSeparated_Method1)</f>
        <v>0.39999999999999997</v>
      </c>
      <c r="I95" s="110">
        <f>I94+(I79*X_Cell_Dairy_Stage1MMS_1_AnaerobicLagoon_AmountSeparated_Method1)+(I84*X_Cell_Dairy_Stage1MMS_1_SumpAndDispersal_AmountSeparated_Method1)+(I89*X_Cell_Dairy_Stage1MMS_1_DrainsToPaddock_AmountSeparated_Method1)</f>
        <v>0.39999999999999997</v>
      </c>
      <c r="J95" s="16" t="s">
        <v>326</v>
      </c>
      <c r="K95" s="16"/>
      <c r="L95" s="16"/>
      <c r="M95" s="16"/>
      <c r="N95" s="16"/>
      <c r="S95" s="21"/>
    </row>
    <row r="96" spans="4:19" ht="20.100000000000001" customHeight="1" x14ac:dyDescent="0.25">
      <c r="D96" s="1" t="s">
        <v>338</v>
      </c>
      <c r="E96" s="110">
        <f>E94+(E79*X_Cell_Dairy_Stage1MMS_1_AnaerobicLagoon_AmountSeparated_Method2)+(E84*X_Cell_Dairy_Stage1MMS_1_SumpAndDispersal_AmountSeparated_Method2)+(E89*X_Cell_Dairy_Stage1MMS_1_DrainsToPaddock_AmountSeparated_Method2)</f>
        <v>0.39999999999999997</v>
      </c>
      <c r="F96" s="110">
        <f>F94+(F79*X_Cell_Dairy_Stage1MMS_1_AnaerobicLagoon_AmountSeparated_Method2)+(F84*X_Cell_Dairy_Stage1MMS_1_SumpAndDispersal_AmountSeparated_Method2)+(F89*X_Cell_Dairy_Stage1MMS_1_DrainsToPaddock_AmountSeparated_Method2)</f>
        <v>0.39999999999999997</v>
      </c>
      <c r="G96" s="110">
        <f>G94+(G79*X_Cell_Dairy_Stage1MMS_1_AnaerobicLagoon_AmountSeparated_Method2)+(G84*X_Cell_Dairy_Stage1MMS_1_SumpAndDispersal_AmountSeparated_Method2)+(G89*X_Cell_Dairy_Stage1MMS_1_DrainsToPaddock_AmountSeparated_Method2)</f>
        <v>0.39999999999999997</v>
      </c>
      <c r="H96" s="110">
        <f>H94+(H79*X_Cell_Dairy_Stage1MMS_1_AnaerobicLagoon_AmountSeparated_Method2)+(H84*X_Cell_Dairy_Stage1MMS_1_SumpAndDispersal_AmountSeparated_Method2)+(H89*X_Cell_Dairy_Stage1MMS_1_DrainsToPaddock_AmountSeparated_Method2)</f>
        <v>0.39999999999999997</v>
      </c>
      <c r="I96" s="110">
        <f>I94+(I79*X_Cell_Dairy_Stage1MMS_1_AnaerobicLagoon_AmountSeparated_Method2)+(I84*X_Cell_Dairy_Stage1MMS_1_SumpAndDispersal_AmountSeparated_Method2)+(I89*X_Cell_Dairy_Stage1MMS_1_DrainsToPaddock_AmountSeparated_Method2)</f>
        <v>0.39999999999999997</v>
      </c>
      <c r="J96" s="16" t="s">
        <v>326</v>
      </c>
      <c r="K96" s="16"/>
      <c r="S96" s="21"/>
    </row>
    <row r="97" spans="4:19" ht="20.100000000000001" customHeight="1" x14ac:dyDescent="0.25">
      <c r="F97" s="16"/>
      <c r="S97" s="21"/>
    </row>
    <row r="98" spans="4:19" ht="20.100000000000001" customHeight="1" x14ac:dyDescent="0.25">
      <c r="F98" s="112"/>
      <c r="S98" s="21"/>
    </row>
    <row r="99" spans="4:19" ht="20.100000000000001" customHeight="1" x14ac:dyDescent="0.25">
      <c r="D99" s="78" t="str">
        <f>"From " &amp; $D$65</f>
        <v>From Feed pad</v>
      </c>
      <c r="S99" s="21"/>
    </row>
    <row r="100" spans="4:19" ht="20.100000000000001" customHeight="1" x14ac:dyDescent="0.25">
      <c r="S100" s="21"/>
    </row>
    <row r="101" spans="4:19" ht="20.100000000000001" customHeight="1" x14ac:dyDescent="0.25">
      <c r="D101" s="113" t="s">
        <v>330</v>
      </c>
      <c r="E101" s="81" t="s">
        <v>295</v>
      </c>
      <c r="F101" s="81" t="s">
        <v>296</v>
      </c>
      <c r="G101" s="81" t="s">
        <v>297</v>
      </c>
      <c r="H101" s="81" t="s">
        <v>298</v>
      </c>
      <c r="I101" s="81" t="s">
        <v>299</v>
      </c>
      <c r="J101" s="108" t="s">
        <v>331</v>
      </c>
      <c r="K101" s="108"/>
      <c r="L101" s="98" t="s">
        <v>332</v>
      </c>
      <c r="M101" s="98"/>
      <c r="N101" s="81"/>
      <c r="S101" s="21"/>
    </row>
    <row r="102" spans="4:19" ht="20.100000000000001" customHeight="1" x14ac:dyDescent="0.25">
      <c r="D102" s="114"/>
      <c r="L102" s="109" t="s">
        <v>333</v>
      </c>
      <c r="M102" s="109" t="s">
        <v>334</v>
      </c>
      <c r="N102" s="109" t="s">
        <v>335</v>
      </c>
      <c r="S102" s="21"/>
    </row>
    <row r="103" spans="4:19" ht="20.100000000000001" customHeight="1" x14ac:dyDescent="0.25">
      <c r="D103" s="115" t="str">
        <f>'Constants - Dairy'!$D$8</f>
        <v>Anaerobic lagoon</v>
      </c>
      <c r="E103" s="18">
        <v>0.25</v>
      </c>
      <c r="F103" s="18">
        <v>0.25</v>
      </c>
      <c r="G103" s="18">
        <v>0.25</v>
      </c>
      <c r="H103" s="18">
        <v>0.25</v>
      </c>
      <c r="I103" s="18">
        <v>0.25</v>
      </c>
      <c r="J103" s="16" t="s">
        <v>326</v>
      </c>
      <c r="K103" s="16"/>
      <c r="L103" s="18">
        <v>0.25</v>
      </c>
      <c r="M103" s="18">
        <v>0.25</v>
      </c>
      <c r="N103" s="110">
        <f>1-SUM(L103:M103)</f>
        <v>0.5</v>
      </c>
      <c r="S103" s="21"/>
    </row>
    <row r="104" spans="4:19" ht="20.100000000000001" customHeight="1" x14ac:dyDescent="0.25">
      <c r="D104" s="116" t="str">
        <f>"Were solids separated from " &amp; D103 &amp; "?"</f>
        <v>Were solids separated from Anaerobic lagoon?</v>
      </c>
      <c r="E104" s="13" t="s">
        <v>339</v>
      </c>
      <c r="S104" s="21"/>
    </row>
    <row r="105" spans="4:19" ht="20.100000000000001" customHeight="1" x14ac:dyDescent="0.25">
      <c r="D105" s="116" t="str">
        <f>"Percent solids separated from " &amp; D103 &amp; " (Method 1)"</f>
        <v>Percent solids separated from Anaerobic lagoon (Method 1)</v>
      </c>
      <c r="E105" s="110">
        <f>IF(X_Cell_Dairy_Stage1MMS_2_AnaerobicLagoon_SolidsSeparated="Yes", 20%, 0)</f>
        <v>0</v>
      </c>
      <c r="S105" s="21"/>
    </row>
    <row r="106" spans="4:19" ht="20.100000000000001" customHeight="1" x14ac:dyDescent="0.25">
      <c r="D106" s="116" t="str">
        <f>"Percent solids separated from " &amp; D103 &amp; " (Method 2)"</f>
        <v>Percent solids separated from Anaerobic lagoon (Method 2)</v>
      </c>
      <c r="E106" s="18">
        <f>IF(X_Cell_Dairy_Stage1MMS_2_AnaerobicLagoon_SolidsSeparated="Yes", 20%, 0)</f>
        <v>0</v>
      </c>
      <c r="S106" s="21"/>
    </row>
    <row r="107" spans="4:19" ht="20.100000000000001" customHeight="1" x14ac:dyDescent="0.25"/>
    <row r="108" spans="4:19" ht="20.100000000000001" customHeight="1" x14ac:dyDescent="0.25">
      <c r="D108" s="115" t="str">
        <f>'Constants - Dairy'!$D$9</f>
        <v>Sump and dispersal system</v>
      </c>
      <c r="E108" s="18">
        <v>0.25</v>
      </c>
      <c r="F108" s="18">
        <v>0.25</v>
      </c>
      <c r="G108" s="18">
        <v>0.25</v>
      </c>
      <c r="H108" s="18">
        <v>0.25</v>
      </c>
      <c r="I108" s="18">
        <v>0.25</v>
      </c>
      <c r="J108" s="16" t="s">
        <v>326</v>
      </c>
      <c r="K108" s="16"/>
      <c r="L108" s="18">
        <v>0.25</v>
      </c>
      <c r="M108" s="18">
        <v>0.25</v>
      </c>
      <c r="N108" s="110">
        <f t="shared" ref="N108" si="3">1-SUM(L108:M108)</f>
        <v>0.5</v>
      </c>
    </row>
    <row r="109" spans="4:19" ht="20.100000000000001" customHeight="1" x14ac:dyDescent="0.25">
      <c r="D109" s="116" t="str">
        <f>"Were solids separated from " &amp; D108 &amp; "?"</f>
        <v>Were solids separated from Sump and dispersal system?</v>
      </c>
      <c r="E109" s="13" t="s">
        <v>336</v>
      </c>
    </row>
    <row r="110" spans="4:19" ht="20.100000000000001" customHeight="1" x14ac:dyDescent="0.25">
      <c r="D110" s="116" t="str">
        <f>"Percent solids separated from " &amp; D108 &amp; " (Method 1)"</f>
        <v>Percent solids separated from Sump and dispersal system (Method 1)</v>
      </c>
      <c r="E110" s="110">
        <f>IF(X_Cell_Dairy_Stage1MMS_2_SumpAndDispersal_SolidsSeparated="Yes", 20%, 0)</f>
        <v>0.2</v>
      </c>
    </row>
    <row r="111" spans="4:19" ht="20.100000000000001" customHeight="1" x14ac:dyDescent="0.25">
      <c r="D111" s="116" t="str">
        <f>"Percent solids separated from " &amp; D108 &amp; " (Method 2)"</f>
        <v>Percent solids separated from Sump and dispersal system (Method 2)</v>
      </c>
      <c r="E111" s="18">
        <f>IF(X_Cell_Dairy_Stage1MMS_2_SumpAndDispersal_SolidsSeparated="Yes", 20%, 0)</f>
        <v>0.2</v>
      </c>
    </row>
    <row r="112" spans="4:19" ht="20.100000000000001" customHeight="1" x14ac:dyDescent="0.25"/>
    <row r="113" spans="4:14" ht="20.100000000000001" customHeight="1" x14ac:dyDescent="0.25">
      <c r="D113" s="115" t="str">
        <f>'Constants - Dairy'!$D$10</f>
        <v>Drains to paddock</v>
      </c>
      <c r="E113" s="18">
        <v>0.25</v>
      </c>
      <c r="F113" s="18">
        <v>0.25</v>
      </c>
      <c r="G113" s="18">
        <v>0.25</v>
      </c>
      <c r="H113" s="18">
        <v>0.25</v>
      </c>
      <c r="I113" s="18">
        <v>0.25</v>
      </c>
      <c r="J113" s="16" t="s">
        <v>326</v>
      </c>
      <c r="K113" s="16"/>
      <c r="L113" s="18">
        <v>0.25</v>
      </c>
      <c r="M113" s="18">
        <v>0.25</v>
      </c>
      <c r="N113" s="110">
        <f>1-SUM(L113:M113)</f>
        <v>0.5</v>
      </c>
    </row>
    <row r="114" spans="4:14" ht="20.100000000000001" customHeight="1" x14ac:dyDescent="0.25">
      <c r="D114" s="116" t="str">
        <f>"Were solids separated from " &amp; D113 &amp; "?"</f>
        <v>Were solids separated from Drains to paddock?</v>
      </c>
      <c r="E114" s="13" t="s">
        <v>336</v>
      </c>
    </row>
    <row r="115" spans="4:14" ht="20.100000000000001" customHeight="1" x14ac:dyDescent="0.25">
      <c r="D115" s="116" t="str">
        <f>"Percent solids separated from " &amp; D113 &amp; " (Method 1)"</f>
        <v>Percent solids separated from Drains to paddock (Method 1)</v>
      </c>
      <c r="E115" s="110">
        <f>IF(X_Cell_Dairy_Stage1MMS_2_DrainsToPaddock_SolidsSeparated="Yes", 20%, 0)</f>
        <v>0.2</v>
      </c>
    </row>
    <row r="116" spans="4:14" ht="20.100000000000001" customHeight="1" x14ac:dyDescent="0.25">
      <c r="D116" s="116" t="str">
        <f>"Percent solids separated from " &amp; D113 &amp; " (Method 2)"</f>
        <v>Percent solids separated from Drains to paddock (Method 2)</v>
      </c>
      <c r="E116" s="18">
        <f>IF(X_Cell_Dairy_Stage1MMS_2_DrainsToPaddock_SolidsSeparated="Yes", 20%, 0)</f>
        <v>0.2</v>
      </c>
    </row>
    <row r="117" spans="4:14" ht="20.100000000000001" customHeight="1" x14ac:dyDescent="0.25"/>
    <row r="118" spans="4:14" ht="20.100000000000001" customHeight="1" x14ac:dyDescent="0.25">
      <c r="D118" s="115" t="str">
        <f>'Constants - Dairy'!$D$11 &amp; " (before solid separation)"</f>
        <v>Solid storage (before solid separation)</v>
      </c>
      <c r="E118" s="18">
        <v>0.25</v>
      </c>
      <c r="F118" s="18">
        <v>0.25</v>
      </c>
      <c r="G118" s="18">
        <v>0.25</v>
      </c>
      <c r="H118" s="18">
        <v>0.25</v>
      </c>
      <c r="I118" s="18">
        <v>0.25</v>
      </c>
      <c r="J118" s="16" t="s">
        <v>326</v>
      </c>
      <c r="K118" s="16"/>
      <c r="L118" s="18">
        <v>0.25</v>
      </c>
      <c r="M118" s="18">
        <v>0.25</v>
      </c>
      <c r="N118" s="110">
        <f>1-SUM(L118:M118)</f>
        <v>0.5</v>
      </c>
    </row>
    <row r="119" spans="4:14" ht="20.100000000000001" customHeight="1" x14ac:dyDescent="0.25">
      <c r="D119" s="114" t="s">
        <v>337</v>
      </c>
      <c r="E119" s="110">
        <f>E118+(E103*X_Cell_Dairy_Stage1MMS_2_AnaerobicLagoon_AmountSeparated_Method1)+(E108*X_Cell_Dairy_Stage1MMS_2_SumpAndDispersal_AmountSeparated_Method1)+(E113*X_Cell_Dairy_Stage1MMS_2_DrainsToPaddock_AmountSeparated_Method1)</f>
        <v>0.35</v>
      </c>
      <c r="F119" s="110">
        <f>F118+(F103*X_Cell_Dairy_Stage1MMS_2_AnaerobicLagoon_AmountSeparated_Method1)+(F108*X_Cell_Dairy_Stage1MMS_2_SumpAndDispersal_AmountSeparated_Method1)+(F113*X_Cell_Dairy_Stage1MMS_2_DrainsToPaddock_AmountSeparated_Method1)</f>
        <v>0.35</v>
      </c>
      <c r="G119" s="110">
        <f>G118+(G103*X_Cell_Dairy_Stage1MMS_2_AnaerobicLagoon_AmountSeparated_Method1)+(G108*X_Cell_Dairy_Stage1MMS_2_SumpAndDispersal_AmountSeparated_Method1)+(G113*X_Cell_Dairy_Stage1MMS_2_DrainsToPaddock_AmountSeparated_Method1)</f>
        <v>0.35</v>
      </c>
      <c r="H119" s="110">
        <f>H118+(H103*X_Cell_Dairy_Stage1MMS_2_AnaerobicLagoon_AmountSeparated_Method1)+(H108*X_Cell_Dairy_Stage1MMS_2_SumpAndDispersal_AmountSeparated_Method1)+(H113*X_Cell_Dairy_Stage1MMS_2_DrainsToPaddock_AmountSeparated_Method1)</f>
        <v>0.35</v>
      </c>
      <c r="I119" s="110">
        <f>I118+(I103*X_Cell_Dairy_Stage1MMS_2_AnaerobicLagoon_AmountSeparated_Method1)+(I108*X_Cell_Dairy_Stage1MMS_2_SumpAndDispersal_AmountSeparated_Method1)+(I113*X_Cell_Dairy_Stage1MMS_2_DrainsToPaddock_AmountSeparated_Method1)</f>
        <v>0.35</v>
      </c>
      <c r="J119" s="16" t="s">
        <v>326</v>
      </c>
      <c r="K119" s="16"/>
      <c r="L119" s="16"/>
      <c r="M119" s="16"/>
      <c r="N119" s="16"/>
    </row>
    <row r="120" spans="4:14" ht="20.100000000000001" customHeight="1" x14ac:dyDescent="0.25">
      <c r="D120" s="114" t="s">
        <v>338</v>
      </c>
      <c r="E120" s="110">
        <f>E118+(E103*X_Cell_Dairy_Stage1MMS_2_AnaerobicLagoon_AmountSeparated_Method2)+(E108*X_Cell_Dairy_Stage1MMS_2_SumpAndDispersal_AmountSeparated_Method2)+(E113*X_Cell_Dairy_Stage1MMS_2_DrainsToPaddock_AmountSeparated_Method2)</f>
        <v>0.35</v>
      </c>
      <c r="F120" s="110">
        <f>F118+(F103*X_Cell_Dairy_Stage1MMS_2_AnaerobicLagoon_AmountSeparated_Method2)+(F108*X_Cell_Dairy_Stage1MMS_2_SumpAndDispersal_AmountSeparated_Method2)+(F113*X_Cell_Dairy_Stage1MMS_2_DrainsToPaddock_AmountSeparated_Method2)</f>
        <v>0.35</v>
      </c>
      <c r="G120" s="110">
        <f>G118+(G103*X_Cell_Dairy_Stage1MMS_2_AnaerobicLagoon_AmountSeparated_Method2)+(G108*X_Cell_Dairy_Stage1MMS_2_SumpAndDispersal_AmountSeparated_Method2)+(G113*X_Cell_Dairy_Stage1MMS_2_DrainsToPaddock_AmountSeparated_Method2)</f>
        <v>0.35</v>
      </c>
      <c r="H120" s="110">
        <f>H118+(H103*X_Cell_Dairy_Stage1MMS_2_AnaerobicLagoon_AmountSeparated_Method2)+(H108*X_Cell_Dairy_Stage1MMS_2_SumpAndDispersal_AmountSeparated_Method2)+(H113*X_Cell_Dairy_Stage1MMS_2_DrainsToPaddock_AmountSeparated_Method2)</f>
        <v>0.35</v>
      </c>
      <c r="I120" s="110">
        <f>I118+(I103*X_Cell_Dairy_Stage1MMS_2_AnaerobicLagoon_AmountSeparated_Method2)+(I108*X_Cell_Dairy_Stage1MMS_2_SumpAndDispersal_AmountSeparated_Method2)+(I113*X_Cell_Dairy_Stage1MMS_2_DrainsToPaddock_AmountSeparated_Method2)</f>
        <v>0.35</v>
      </c>
      <c r="J120" s="16" t="s">
        <v>326</v>
      </c>
      <c r="K120" s="16"/>
    </row>
    <row r="121" spans="4:14" ht="20.100000000000001" customHeight="1" x14ac:dyDescent="0.25"/>
    <row r="122" spans="4:14" ht="20.100000000000001" customHeight="1" x14ac:dyDescent="0.25"/>
    <row r="123" spans="4:14" ht="20.100000000000001" customHeight="1" x14ac:dyDescent="0.25">
      <c r="D123" s="1" t="s">
        <v>340</v>
      </c>
      <c r="E123" s="13" t="s">
        <v>164</v>
      </c>
      <c r="F123" s="16" t="s">
        <v>100</v>
      </c>
    </row>
    <row r="124" spans="4:14" ht="20.100000000000001" customHeight="1" x14ac:dyDescent="0.25">
      <c r="E124" s="13" t="s">
        <v>341</v>
      </c>
      <c r="F124" s="16" t="s">
        <v>100</v>
      </c>
      <c r="L124" s="16"/>
      <c r="M124" s="16"/>
      <c r="N124" s="16"/>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16"/>
      <c r="N142" s="16"/>
    </row>
    <row r="143" spans="13:14" ht="20.100000000000001" customHeight="1" x14ac:dyDescent="0.25">
      <c r="M143" s="16"/>
      <c r="N143" s="16"/>
    </row>
    <row r="144" spans="13:14" ht="20.100000000000001" customHeight="1" x14ac:dyDescent="0.25">
      <c r="M144" s="16"/>
      <c r="N144" s="16"/>
    </row>
    <row r="145" spans="13:14" ht="20.100000000000001" customHeight="1" x14ac:dyDescent="0.25"/>
    <row r="146" spans="13:14" ht="20.100000000000001" customHeight="1" x14ac:dyDescent="0.25"/>
    <row r="147" spans="13:14" ht="20.100000000000001" customHeight="1" x14ac:dyDescent="0.25">
      <c r="M147" s="16"/>
      <c r="N147" s="16"/>
    </row>
    <row r="148" spans="13:14" ht="20.100000000000001" customHeight="1" x14ac:dyDescent="0.25">
      <c r="M148" s="16"/>
      <c r="N148" s="16"/>
    </row>
    <row r="149" spans="13:14" ht="20.100000000000001" customHeight="1" x14ac:dyDescent="0.25">
      <c r="M149" s="16"/>
      <c r="N149" s="16"/>
    </row>
    <row r="150" spans="13:14" ht="20.100000000000001" customHeight="1" x14ac:dyDescent="0.25"/>
    <row r="151" spans="13:14" ht="20.100000000000001" customHeight="1" x14ac:dyDescent="0.25"/>
    <row r="152" spans="13:14" ht="20.100000000000001" customHeight="1" x14ac:dyDescent="0.25">
      <c r="M152" s="16"/>
      <c r="N152" s="16"/>
    </row>
    <row r="153" spans="13:14" ht="20.100000000000001" customHeight="1" x14ac:dyDescent="0.25">
      <c r="M153" s="16"/>
      <c r="N153" s="16"/>
    </row>
    <row r="154" spans="13:14" ht="20.100000000000001" customHeight="1" x14ac:dyDescent="0.25">
      <c r="M154" s="16"/>
      <c r="N154" s="16"/>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16"/>
      <c r="N161" s="16"/>
    </row>
    <row r="162" spans="13:14" ht="20.100000000000001" customHeight="1" x14ac:dyDescent="0.25">
      <c r="M162" s="16"/>
      <c r="N162" s="16"/>
    </row>
    <row r="163" spans="13:14" ht="20.100000000000001" customHeight="1" x14ac:dyDescent="0.25">
      <c r="M163" s="16"/>
      <c r="N163" s="16"/>
    </row>
    <row r="164" spans="13:14" ht="20.100000000000001" customHeight="1" x14ac:dyDescent="0.25"/>
    <row r="165" spans="13:14" ht="20.100000000000001" customHeight="1" x14ac:dyDescent="0.25"/>
    <row r="166" spans="13:14" x14ac:dyDescent="0.25">
      <c r="M166" s="16"/>
      <c r="N166" s="16"/>
    </row>
    <row r="167" spans="13:14" x14ac:dyDescent="0.25">
      <c r="M167" s="16"/>
      <c r="N167" s="16"/>
    </row>
    <row r="168" spans="13:14" x14ac:dyDescent="0.25">
      <c r="M168" s="16"/>
      <c r="N168" s="16"/>
    </row>
    <row r="171" spans="13:14" x14ac:dyDescent="0.25">
      <c r="M171" s="16"/>
      <c r="N171" s="16"/>
    </row>
    <row r="172" spans="13:14" x14ac:dyDescent="0.25">
      <c r="M172" s="16"/>
      <c r="N172" s="16"/>
    </row>
    <row r="173" spans="13:14" x14ac:dyDescent="0.25">
      <c r="M173" s="16"/>
      <c r="N173" s="16"/>
    </row>
    <row r="176" spans="13:14" x14ac:dyDescent="0.25">
      <c r="M176" s="16"/>
      <c r="N176" s="16"/>
    </row>
    <row r="177" spans="13:14" x14ac:dyDescent="0.25">
      <c r="M177" s="16"/>
      <c r="N177" s="16"/>
    </row>
    <row r="178" spans="13:14" x14ac:dyDescent="0.25">
      <c r="M178" s="16"/>
      <c r="N178" s="16"/>
    </row>
  </sheetData>
  <conditionalFormatting sqref="E10:N10 E24:N25 E28:N29 K36:L36 E36:J37 M36:N38 L37 K40 E40:J41 L41:L42 M42:N42 P43:Q43 J79:K79 J84:K84 F89 J89:K89 F94 J94:K96 L95:N95 F100 J103:K103 J108:K108 J113:K113 J118:K120 L119:N119 L124:N124">
    <cfRule type="cellIs" dxfId="84" priority="6" operator="lessThan">
      <formula>0</formula>
    </cfRule>
  </conditionalFormatting>
  <conditionalFormatting sqref="E14:N15">
    <cfRule type="cellIs" dxfId="83" priority="2" operator="lessThan">
      <formula>0</formula>
    </cfRule>
  </conditionalFormatting>
  <conditionalFormatting sqref="E18:N19">
    <cfRule type="cellIs" dxfId="82" priority="1" operator="lessThan">
      <formula>0</formula>
    </cfRule>
  </conditionalFormatting>
  <conditionalFormatting sqref="F97">
    <cfRule type="cellIs" dxfId="81" priority="3" operator="lessThan">
      <formula>0</formula>
    </cfRule>
  </conditionalFormatting>
  <conditionalFormatting sqref="J63:N65">
    <cfRule type="cellIs" dxfId="80" priority="5" operator="lessThan">
      <formula>0</formula>
    </cfRule>
  </conditionalFormatting>
  <conditionalFormatting sqref="J68:N70">
    <cfRule type="cellIs" dxfId="79" priority="4" operator="lessThan">
      <formula>0</formula>
    </cfRule>
  </conditionalFormatting>
  <dataValidations count="6">
    <dataValidation type="list" allowBlank="1" showInputMessage="1" showErrorMessage="1" sqref="E47" xr:uid="{5DAB5368-8D70-45C3-950B-F74B8080ECE0}">
      <formula1>"Litres of milk, Milk solids"</formula1>
    </dataValidation>
    <dataValidation type="list" allowBlank="1" showInputMessage="1" showErrorMessage="1" sqref="E7" xr:uid="{C9604A6B-D421-4F17-B31F-F0B5E43A17C0}">
      <formula1>INDIRECT("Table_SourceData_Dairy_WjCowsHeifers[Breed]")</formula1>
    </dataValidation>
    <dataValidation type="list" allowBlank="1" showInputMessage="1" showErrorMessage="1" sqref="E80 E85 E90 E104 E109 E114" xr:uid="{AC62A032-233F-4EBF-A882-D1BB25E31628}">
      <formula1>"Yes, No"</formula1>
    </dataValidation>
    <dataValidation type="list" allowBlank="1" showInputMessage="1" showErrorMessage="1" sqref="E60" xr:uid="{ABDED75C-0F76-4F88-ACCC-A833F94C3D2F}">
      <formula1>INDIRECT("Table_SourceData_Dairy_ProductionSystemTemplates[Area]")</formula1>
    </dataValidation>
    <dataValidation type="list" allowBlank="1" showInputMessage="1" showErrorMessage="1" sqref="E124" xr:uid="{81F46CAD-23B5-45A5-87AD-82D4E7A80026}">
      <formula1>INDIRECT("Table_SourceData_Dairy_IrrigationMethods[Irrigation method]")</formula1>
    </dataValidation>
    <dataValidation type="list" allowBlank="1" showInputMessage="1" showErrorMessage="1" sqref="E123" xr:uid="{C7930B66-6B0F-41C9-9842-F5982FD2DCA8}">
      <formula1>INDIRECT("Table_SourceData_Dairy_CropProdSystems[Production system]")</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B67-59B8-47EB-891E-BAA3B5DA183C}">
  <sheetPr>
    <tabColor rgb="FFCC6600"/>
  </sheetPr>
  <dimension ref="A1:M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25.5" x14ac:dyDescent="0.35">
      <c r="A1" s="10" t="e" vm="1">
        <v>#VALUE!</v>
      </c>
      <c r="C1" s="10" t="s">
        <v>174</v>
      </c>
    </row>
    <row r="2" spans="1:13" s="3" customFormat="1" x14ac:dyDescent="0.25">
      <c r="A2"/>
    </row>
    <row r="3" spans="1:13" ht="20.25" x14ac:dyDescent="0.25">
      <c r="A3" s="5" t="str">
        <f>HYPERLINK("#'Home'!A1", "Home")</f>
        <v>Home</v>
      </c>
      <c r="C3" s="28"/>
      <c r="D3" s="28"/>
      <c r="E3" s="28"/>
      <c r="F3" s="28"/>
      <c r="G3" s="28"/>
      <c r="H3" s="28"/>
      <c r="I3" s="28"/>
      <c r="J3" s="28"/>
      <c r="K3" s="28"/>
      <c r="L3" s="28"/>
      <c r="M3" s="28"/>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c r="D5" s="79" t="s">
        <v>175</v>
      </c>
    </row>
    <row r="6" spans="1:13" x14ac:dyDescent="0.25">
      <c r="A6" s="5" t="str">
        <f>HYPERLINK("#'Results'!A1", "Results")</f>
        <v>Results</v>
      </c>
      <c r="D6" s="19" t="s">
        <v>176</v>
      </c>
      <c r="E6" s="19" t="s">
        <v>177</v>
      </c>
      <c r="F6" s="19" t="s">
        <v>178</v>
      </c>
      <c r="G6" s="19" t="s">
        <v>179</v>
      </c>
      <c r="H6" s="19" t="s">
        <v>180</v>
      </c>
      <c r="I6" s="19" t="s">
        <v>181</v>
      </c>
    </row>
    <row r="7" spans="1:13" x14ac:dyDescent="0.25">
      <c r="D7" s="33"/>
      <c r="E7" s="13"/>
      <c r="F7" s="80">
        <v>45566</v>
      </c>
      <c r="G7" s="19">
        <v>10</v>
      </c>
      <c r="H7" s="19">
        <v>500</v>
      </c>
      <c r="I7" s="15">
        <f t="shared" ref="I7:I16" si="0">G7*H7</f>
        <v>5000</v>
      </c>
    </row>
    <row r="8" spans="1:13" x14ac:dyDescent="0.25">
      <c r="D8" s="33"/>
      <c r="E8" s="13"/>
      <c r="F8" s="80"/>
      <c r="G8" s="19"/>
      <c r="H8" s="19"/>
      <c r="I8" s="15">
        <f t="shared" si="0"/>
        <v>0</v>
      </c>
    </row>
    <row r="9" spans="1:13" x14ac:dyDescent="0.25">
      <c r="A9" s="7" t="s">
        <v>0</v>
      </c>
      <c r="D9" s="33"/>
      <c r="E9" s="13"/>
      <c r="F9" s="80"/>
      <c r="G9" s="19"/>
      <c r="H9" s="19"/>
      <c r="I9" s="15">
        <f t="shared" si="0"/>
        <v>0</v>
      </c>
    </row>
    <row r="10" spans="1:13" x14ac:dyDescent="0.25">
      <c r="A10" s="5" t="str">
        <f>HYPERLINK("#'Input - Enterprise'!A1", "Enterprise")</f>
        <v>Enterprise</v>
      </c>
      <c r="D10" s="33"/>
      <c r="E10" s="13"/>
      <c r="F10" s="80"/>
      <c r="G10" s="19"/>
      <c r="H10" s="19"/>
      <c r="I10" s="15">
        <f t="shared" si="0"/>
        <v>0</v>
      </c>
    </row>
    <row r="11" spans="1:13" x14ac:dyDescent="0.25">
      <c r="A11" s="5" t="str">
        <f>HYPERLINK("#'Input - Site'!A1", "Site")</f>
        <v>Site</v>
      </c>
      <c r="D11" s="33"/>
      <c r="E11" s="13"/>
      <c r="F11" s="80"/>
      <c r="G11" s="19"/>
      <c r="H11" s="19"/>
      <c r="I11" s="15">
        <f t="shared" si="0"/>
        <v>0</v>
      </c>
    </row>
    <row r="12" spans="1:13" x14ac:dyDescent="0.25">
      <c r="A12" s="5" t="str">
        <f>HYPERLINK("#'Input - Dairy'!A1", "Dairy")</f>
        <v>Dairy</v>
      </c>
      <c r="D12" s="33"/>
      <c r="E12" s="13"/>
      <c r="F12" s="80"/>
      <c r="G12" s="19"/>
      <c r="H12" s="19"/>
      <c r="I12" s="15">
        <f t="shared" si="0"/>
        <v>0</v>
      </c>
    </row>
    <row r="13" spans="1:13" x14ac:dyDescent="0.25">
      <c r="A13" s="99" t="str">
        <f>HYPERLINK("#'Input - Livestock sales'!A1", "Livestock sales")</f>
        <v>Livestock sales</v>
      </c>
      <c r="D13" s="33"/>
      <c r="E13" s="13"/>
      <c r="F13" s="80"/>
      <c r="G13" s="19"/>
      <c r="H13" s="19"/>
      <c r="I13" s="15">
        <f t="shared" si="0"/>
        <v>0</v>
      </c>
    </row>
    <row r="14" spans="1:13" x14ac:dyDescent="0.25">
      <c r="A14" s="5" t="str">
        <f>HYPERLINK("#'Input - Dairy cattle purchases'!A1", "Dairy cattle purchases")</f>
        <v>Dairy cattle purchases</v>
      </c>
      <c r="D14" s="33"/>
      <c r="E14" s="13"/>
      <c r="F14" s="80"/>
      <c r="G14" s="19"/>
      <c r="H14" s="19"/>
      <c r="I14" s="15">
        <f t="shared" si="0"/>
        <v>0</v>
      </c>
    </row>
    <row r="15" spans="1:13" x14ac:dyDescent="0.25">
      <c r="A15" s="5" t="str">
        <f>HYPERLINK("#'Input - Pasture'!A1", "Pasture")</f>
        <v>Pasture</v>
      </c>
      <c r="D15" s="33"/>
      <c r="E15" s="13"/>
      <c r="F15" s="80"/>
      <c r="G15" s="19"/>
      <c r="H15" s="19"/>
      <c r="I15" s="15">
        <f t="shared" si="0"/>
        <v>0</v>
      </c>
    </row>
    <row r="16" spans="1:13" x14ac:dyDescent="0.25">
      <c r="A16" s="5" t="str">
        <f>HYPERLINK("#'Input - Fert Prod System'!A1", "Fert Prod System")</f>
        <v>Fert Prod System</v>
      </c>
      <c r="D16" s="33"/>
      <c r="E16" s="13"/>
      <c r="F16" s="80"/>
      <c r="G16" s="19"/>
      <c r="H16" s="19"/>
      <c r="I16" s="15">
        <f t="shared" si="0"/>
        <v>0</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Data quality'!A1", "Data quality")</f>
        <v>Data quality</v>
      </c>
    </row>
    <row r="29" spans="1:1" x14ac:dyDescent="0.25">
      <c r="A29" s="6" t="s">
        <v>2</v>
      </c>
    </row>
    <row r="30" spans="1:1" x14ac:dyDescent="0.25">
      <c r="A30" s="5" t="str">
        <f>HYPERLINK("#'3.3.1.1-2 Enteric Methane'!A1", "3.3.1.1-2 Enteric methane")</f>
        <v>3.3.1.1-2 Enteric methane</v>
      </c>
    </row>
    <row r="31" spans="1:1" x14ac:dyDescent="0.25">
      <c r="A31" s="5" t="str">
        <f>HYPERLINK("#'4.3.1.1-2 Methane'!A1", "4.3.1.1-2 Manure methane")</f>
        <v>4.3.1.1-2 Manure methane</v>
      </c>
    </row>
    <row r="32" spans="1:1"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sheetData>
  <dataValidations count="1">
    <dataValidation type="list" allowBlank="1" showInputMessage="1" showErrorMessage="1" sqref="E7:E16" xr:uid="{59D43099-548A-4C77-BC2D-53C0ECC78E95}">
      <formula1>INDIRECT("Table_LivestockClasses_Dairy[Livestock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1806-F2C2-4888-9D2A-31D26E2284D7}">
  <sheetPr>
    <tabColor theme="5" tint="-0.249977111117893"/>
  </sheetPr>
  <dimension ref="A1:J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9" width="35" style="1" customWidth="1"/>
    <col min="10" max="10" width="5.28515625" style="1" customWidth="1"/>
    <col min="11" max="16384" width="9.140625" style="254"/>
  </cols>
  <sheetData>
    <row r="1" spans="1:10" ht="25.5" x14ac:dyDescent="0.35">
      <c r="A1" s="10" t="e" vm="1">
        <v>#VALUE!</v>
      </c>
      <c r="C1" s="10" t="s">
        <v>1092</v>
      </c>
      <c r="D1" s="10"/>
      <c r="E1" s="10"/>
      <c r="F1" s="10"/>
      <c r="G1" s="10"/>
      <c r="H1" s="10"/>
      <c r="I1" s="10"/>
      <c r="J1" s="10"/>
    </row>
    <row r="2" spans="1:10" x14ac:dyDescent="0.25">
      <c r="A2"/>
      <c r="C2" s="3"/>
      <c r="D2" s="3"/>
      <c r="E2" s="3"/>
      <c r="F2" s="3"/>
      <c r="G2" s="3"/>
      <c r="H2" s="3"/>
      <c r="I2" s="3"/>
      <c r="J2" s="3"/>
    </row>
    <row r="3" spans="1:10" ht="20.25" x14ac:dyDescent="0.25">
      <c r="A3" s="5" t="str">
        <f>HYPERLINK("#'Home'!A1", "Home")</f>
        <v>Home</v>
      </c>
      <c r="C3" s="28"/>
      <c r="D3" s="28"/>
      <c r="E3" s="28"/>
      <c r="F3" s="28"/>
      <c r="G3" s="28"/>
      <c r="H3" s="28"/>
      <c r="I3" s="28"/>
      <c r="J3" s="28"/>
    </row>
    <row r="4" spans="1:10" x14ac:dyDescent="0.25">
      <c r="A4" s="5" t="str">
        <f>HYPERLINK("#'Results - Activity period'!A1", "Results - Activity period")</f>
        <v>Results - Activity period</v>
      </c>
    </row>
    <row r="5" spans="1:10" x14ac:dyDescent="0.25">
      <c r="A5" s="5" t="str">
        <f>HYPERLINK("#'Results - Product EI'!A1", "Results - Product Emissions Intensity")</f>
        <v>Results - Product Emissions Intensity</v>
      </c>
      <c r="D5" s="79" t="s">
        <v>1093</v>
      </c>
      <c r="E5" s="255"/>
      <c r="F5" s="255"/>
      <c r="G5" s="255"/>
      <c r="H5" s="255"/>
      <c r="I5" s="255"/>
    </row>
    <row r="6" spans="1:10" x14ac:dyDescent="0.25">
      <c r="A6" s="5" t="str">
        <f>HYPERLINK("#'Results'!A1", "Results")</f>
        <v>Results</v>
      </c>
      <c r="D6" s="256" t="s">
        <v>176</v>
      </c>
      <c r="E6" s="256" t="s">
        <v>177</v>
      </c>
      <c r="F6" s="256" t="s">
        <v>1094</v>
      </c>
      <c r="G6" s="256" t="s">
        <v>1095</v>
      </c>
      <c r="H6" s="256" t="s">
        <v>1096</v>
      </c>
      <c r="I6" s="256" t="s">
        <v>1097</v>
      </c>
    </row>
    <row r="7" spans="1:10" x14ac:dyDescent="0.25">
      <c r="A7"/>
      <c r="D7" s="33" t="s">
        <v>1098</v>
      </c>
      <c r="E7" s="13" t="s">
        <v>588</v>
      </c>
      <c r="F7" s="13" t="s">
        <v>1099</v>
      </c>
      <c r="G7" s="75">
        <v>100</v>
      </c>
      <c r="H7" s="15"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130</v>
      </c>
      <c r="I7" s="75">
        <v>350</v>
      </c>
    </row>
    <row r="8" spans="1:10" x14ac:dyDescent="0.25">
      <c r="A8"/>
      <c r="D8" s="33"/>
      <c r="E8" s="205" t="s">
        <v>295</v>
      </c>
      <c r="F8" s="13" t="s">
        <v>1100</v>
      </c>
      <c r="G8" s="75">
        <v>100</v>
      </c>
      <c r="H8" s="15"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540</v>
      </c>
      <c r="I8" s="75">
        <v>625</v>
      </c>
    </row>
    <row r="9" spans="1:10" x14ac:dyDescent="0.25">
      <c r="A9" s="7" t="s">
        <v>0</v>
      </c>
      <c r="D9" s="33"/>
      <c r="E9" s="205" t="s">
        <v>587</v>
      </c>
      <c r="F9" s="13" t="s">
        <v>1099</v>
      </c>
      <c r="G9" s="75"/>
      <c r="H9" s="15"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315</v>
      </c>
      <c r="I9" s="75"/>
    </row>
    <row r="10" spans="1:10" x14ac:dyDescent="0.25">
      <c r="A10" s="5" t="str">
        <f>HYPERLINK("#'Input - Enterprise'!A1", "Enterprise")</f>
        <v>Enterprise</v>
      </c>
      <c r="D10" s="33"/>
      <c r="E10" s="205"/>
      <c r="F10" s="13"/>
      <c r="G10" s="75"/>
      <c r="H10" s="15"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0" s="75"/>
    </row>
    <row r="11" spans="1:10" x14ac:dyDescent="0.25">
      <c r="A11" s="5" t="str">
        <f>HYPERLINK("#'Input - Site'!A1", "Site")</f>
        <v>Site</v>
      </c>
      <c r="D11" s="33"/>
      <c r="E11" s="205"/>
      <c r="F11" s="13"/>
      <c r="G11" s="75"/>
      <c r="H11" s="15"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1" s="75"/>
    </row>
    <row r="12" spans="1:10" x14ac:dyDescent="0.25">
      <c r="A12" s="5" t="str">
        <f>HYPERLINK("#'Input - Dairy'!A1", "Dairy")</f>
        <v>Dairy</v>
      </c>
      <c r="D12" s="33"/>
      <c r="E12" s="205"/>
      <c r="F12" s="13"/>
      <c r="G12" s="75"/>
      <c r="H12" s="15"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2" s="75"/>
    </row>
    <row r="13" spans="1:10" x14ac:dyDescent="0.25">
      <c r="A13" s="5" t="str">
        <f>HYPERLINK("#'Input - Livestock sales'!A1", "Livestock sales")</f>
        <v>Livestock sales</v>
      </c>
      <c r="D13" s="33"/>
      <c r="E13" s="205"/>
      <c r="F13" s="13"/>
      <c r="G13" s="75"/>
      <c r="H13" s="15"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3" s="75"/>
    </row>
    <row r="14" spans="1:10" x14ac:dyDescent="0.25">
      <c r="A14" s="99" t="str">
        <f>HYPERLINK("#'Input - Dairy cattle purchases'!A1", "Dairy cattle purchases")</f>
        <v>Dairy cattle purchases</v>
      </c>
      <c r="D14" s="33"/>
      <c r="E14" s="205"/>
      <c r="F14" s="13"/>
      <c r="G14" s="75"/>
      <c r="H14" s="15"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4" s="75"/>
    </row>
    <row r="15" spans="1:10" x14ac:dyDescent="0.25">
      <c r="A15" s="5" t="str">
        <f>HYPERLINK("#'Input - Pasture'!A1", "Pasture")</f>
        <v>Pasture</v>
      </c>
      <c r="D15" s="33"/>
      <c r="E15" s="205"/>
      <c r="F15" s="13"/>
      <c r="G15" s="75"/>
      <c r="H15" s="15"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5" s="75"/>
    </row>
    <row r="16" spans="1:10" x14ac:dyDescent="0.25">
      <c r="A16" s="5" t="str">
        <f>HYPERLINK("#'Input - Fert Prod System'!A1", "Fert Prod System")</f>
        <v>Fert Prod System</v>
      </c>
      <c r="D16" s="33"/>
      <c r="E16" s="205"/>
      <c r="F16" s="13"/>
      <c r="G16" s="75"/>
      <c r="H16" s="15"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(select)]],Table_SourceData_Dairy_WjCowsHeifers[Breed],Table_SourceData_Dairy_WjCowsHeifers[#Headers],Table_SourceData_Dairy_WjCowsHeifers[#Data], 0)</f>
        <v>0</v>
      </c>
      <c r="I16" s="75"/>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Data quality'!A1", "Data quality")</f>
        <v>Data quality</v>
      </c>
    </row>
    <row r="27" spans="1:1" x14ac:dyDescent="0.25">
      <c r="A27"/>
    </row>
    <row r="28" spans="1:1" x14ac:dyDescent="0.25">
      <c r="A28"/>
    </row>
    <row r="29" spans="1:1" x14ac:dyDescent="0.25">
      <c r="A29" s="6" t="s">
        <v>2</v>
      </c>
    </row>
    <row r="30" spans="1:1" x14ac:dyDescent="0.25">
      <c r="A30" s="5" t="str">
        <f>HYPERLINK("#'3.3.1.1-2 Enteric Methane'!A1", "3.3.1.1-2 Enteric methane")</f>
        <v>3.3.1.1-2 Enteric methane</v>
      </c>
    </row>
    <row r="31" spans="1:1" x14ac:dyDescent="0.25">
      <c r="A31" s="5" t="str">
        <f>HYPERLINK("#'4.3.1.1-2 Methane'!A1", "4.3.1.1-2 Manure methane")</f>
        <v>4.3.1.1-2 Manure methane</v>
      </c>
    </row>
    <row r="32" spans="1:1"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3" spans="1:1" x14ac:dyDescent="0.25">
      <c r="A53"/>
    </row>
    <row r="54" spans="1:1" x14ac:dyDescent="0.25">
      <c r="A54"/>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E7:E16" xr:uid="{E27E9FEE-7122-450A-A4BF-7AA3F8F1A960}">
      <formula1>INDIRECT("Table_SourceData_Dairy_WjCowsHeifers[[#Headers],[Milking cows]:[Heifers &lt; 1 (weaned)]]")</formula1>
    </dataValidation>
    <dataValidation type="list" allowBlank="1" showInputMessage="1" showErrorMessage="1" sqref="F7:F16" xr:uid="{431B7288-6330-40D9-9027-AE017C85F784}">
      <formula1>INDIRECT("Table_SourceData_Dairy_WjCowsHeifers[Breed]")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628D-CFE2-42D0-9858-6340B461FF9B}">
  <sheetPr>
    <tabColor theme="5" tint="-0.249977111117893"/>
  </sheetPr>
  <dimension ref="A1:G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1031</v>
      </c>
      <c r="D1" s="10"/>
      <c r="E1" s="10"/>
      <c r="F1" s="10"/>
      <c r="G1" s="10"/>
    </row>
    <row r="2" spans="1:7" ht="20.100000000000001" customHeight="1" x14ac:dyDescent="0.25">
      <c r="C2" s="3"/>
      <c r="D2" s="3"/>
      <c r="E2" s="3"/>
      <c r="F2" s="3"/>
      <c r="G2" s="3"/>
    </row>
    <row r="3" spans="1:7" ht="20.100000000000001" customHeight="1" x14ac:dyDescent="0.25">
      <c r="A3" s="5" t="str">
        <f>HYPERLINK("#'Home'!A1", "Home")</f>
        <v>Home</v>
      </c>
      <c r="C3" s="28"/>
      <c r="D3" s="28"/>
      <c r="E3" s="28"/>
      <c r="F3" s="28"/>
      <c r="G3" s="28"/>
    </row>
    <row r="4" spans="1:7" ht="20.100000000000001" customHeight="1" x14ac:dyDescent="0.25">
      <c r="A4" s="5" t="str">
        <f>HYPERLINK("#'Results - Activity period'!A1", "Results - Activity period")</f>
        <v>Results - Activity period</v>
      </c>
    </row>
    <row r="5" spans="1:7" ht="20.100000000000001" customHeight="1" x14ac:dyDescent="0.25">
      <c r="A5" s="5" t="str">
        <f>HYPERLINK("#'Results - Product EI'!A1", "Results - Product Emissions Intensity")</f>
        <v>Results - Product Emissions Intensity</v>
      </c>
      <c r="D5" s="2" t="s">
        <v>609</v>
      </c>
    </row>
    <row r="6" spans="1:7" ht="20.100000000000001" customHeight="1" x14ac:dyDescent="0.25">
      <c r="A6" s="5" t="str">
        <f>HYPERLINK("#'Results'!A1", "Results")</f>
        <v>Results</v>
      </c>
    </row>
    <row r="7" spans="1:7" ht="20.100000000000001" customHeight="1" x14ac:dyDescent="0.25">
      <c r="D7" s="69" t="s">
        <v>1032</v>
      </c>
      <c r="E7" s="69"/>
      <c r="F7" s="69"/>
    </row>
    <row r="8" spans="1:7" ht="20.100000000000001" customHeight="1" x14ac:dyDescent="0.25"/>
    <row r="9" spans="1:7" ht="20.100000000000001" customHeight="1" x14ac:dyDescent="0.25">
      <c r="A9" s="7" t="s">
        <v>0</v>
      </c>
      <c r="D9" s="1" t="s">
        <v>1033</v>
      </c>
      <c r="E9" s="13" t="s">
        <v>1034</v>
      </c>
      <c r="F9" s="16" t="s">
        <v>1035</v>
      </c>
    </row>
    <row r="10" spans="1:7" ht="20.100000000000001" customHeight="1" x14ac:dyDescent="0.25">
      <c r="A10" s="5" t="str">
        <f>HYPERLINK("#'Input - Enterprise'!A1", "Enterprise")</f>
        <v>Enterprise</v>
      </c>
      <c r="D10" s="1" t="s">
        <v>63</v>
      </c>
      <c r="E10" s="13" t="s">
        <v>585</v>
      </c>
      <c r="F10" s="16" t="s">
        <v>1035</v>
      </c>
    </row>
    <row r="11" spans="1:7" ht="20.100000000000001" customHeight="1" x14ac:dyDescent="0.25">
      <c r="A11" s="5" t="str">
        <f>HYPERLINK("#'Input - Site'!A1", "Site")</f>
        <v>Site</v>
      </c>
    </row>
    <row r="12" spans="1:7" ht="20.100000000000001" customHeight="1" x14ac:dyDescent="0.25">
      <c r="A12" s="5" t="str">
        <f>HYPERLINK("#'Input - Dairy'!A1", "Dairy")</f>
        <v>Dairy</v>
      </c>
      <c r="D12" s="1" t="s">
        <v>1036</v>
      </c>
      <c r="E12" s="75">
        <v>1000</v>
      </c>
      <c r="F12" s="16" t="s">
        <v>1037</v>
      </c>
    </row>
    <row r="13" spans="1:7" ht="20.100000000000001" customHeight="1" x14ac:dyDescent="0.25">
      <c r="A13" s="5" t="str">
        <f>HYPERLINK("#'Input - Livestock sales'!A1", "Livestock sales")</f>
        <v>Livestock sales</v>
      </c>
    </row>
    <row r="14" spans="1:7" ht="20.100000000000001" customHeight="1" x14ac:dyDescent="0.25">
      <c r="A14" s="5" t="str">
        <f>HYPERLINK("#'Input - Dairy cattle purchases'!A1", "Dairy cattle purchases")</f>
        <v>Dairy cattle purchases</v>
      </c>
      <c r="D14" s="2" t="s">
        <v>1038</v>
      </c>
    </row>
    <row r="15" spans="1:7" ht="20.100000000000001" customHeight="1" x14ac:dyDescent="0.25">
      <c r="A15" s="99" t="str">
        <f>HYPERLINK("#'Input - Pasture'!A1", "Pasture")</f>
        <v>Pasture</v>
      </c>
    </row>
    <row r="16" spans="1:7" ht="20.100000000000001" customHeight="1" x14ac:dyDescent="0.25">
      <c r="A16" s="5" t="str">
        <f>HYPERLINK("#'Input - Fert Prod System'!A1", "Fert Prod System")</f>
        <v>Fert Prod System</v>
      </c>
      <c r="D16" s="247" t="s">
        <v>1039</v>
      </c>
      <c r="E16" s="43"/>
      <c r="F16" s="44"/>
    </row>
    <row r="17" spans="1:6" ht="20.100000000000001" customHeight="1" x14ac:dyDescent="0.25">
      <c r="A17" s="5" t="str">
        <f>HYPERLINK("#'Input - Fertiliser'!A1", "Fertiliser")</f>
        <v>Fertiliser</v>
      </c>
      <c r="D17" s="45" t="s">
        <v>1040</v>
      </c>
      <c r="E17" s="46"/>
      <c r="F17" s="47"/>
    </row>
    <row r="18" spans="1:6" ht="20.100000000000001" customHeight="1" x14ac:dyDescent="0.25">
      <c r="A18" s="5" t="str">
        <f>HYPERLINK("#'Input - Fuel'!A1", "Fuel")</f>
        <v>Fuel</v>
      </c>
    </row>
    <row r="19" spans="1:6" ht="20.100000000000001" customHeight="1" x14ac:dyDescent="0.25">
      <c r="A19" s="5" t="str">
        <f>HYPERLINK("#'Input - Electricity'!A1", "Electricity")</f>
        <v>Electricity</v>
      </c>
      <c r="D19" s="1" t="s">
        <v>1041</v>
      </c>
      <c r="E19" s="75">
        <f>_xlfn.XLOOKUP(X_Cell_Pasture_PastureType, Table_SourceData_PastureAttributes[Pasture type],Table_SourceData_PastureAttributes[Average Yield (t DM ha) Yp])</f>
        <v>8.34</v>
      </c>
      <c r="F19" s="16" t="s">
        <v>1042</v>
      </c>
    </row>
    <row r="20" spans="1:6" ht="20.100000000000001" customHeight="1" x14ac:dyDescent="0.25">
      <c r="A20" s="5" t="str">
        <f>HYPERLINK("#'Input - Common farm inputs'!A1", "Common farm inputs")</f>
        <v>Common farm inputs</v>
      </c>
      <c r="D20" s="1" t="s">
        <v>1043</v>
      </c>
      <c r="E20" s="15">
        <f>X_Cell_Pasture_AreaUnderPasture*X_Cell_Pasture_YieldPerHectare</f>
        <v>8340</v>
      </c>
      <c r="F20" s="16" t="s">
        <v>1044</v>
      </c>
    </row>
    <row r="21" spans="1:6" ht="20.100000000000001" customHeight="1" x14ac:dyDescent="0.25">
      <c r="A21" s="5" t="str">
        <f>HYPERLINK("#'Input - Crop pasture farm input'!A1", "Crop pasture farm input")</f>
        <v>Crop pasture farm input</v>
      </c>
    </row>
    <row r="22" spans="1:6" ht="20.100000000000001" customHeight="1" x14ac:dyDescent="0.25">
      <c r="A22" s="5" t="str">
        <f>HYPERLINK("#'Input - Livestock farm Inputs'!A1", "Livestock farm Inputs")</f>
        <v>Livestock farm Inputs</v>
      </c>
    </row>
    <row r="23" spans="1:6" ht="20.100000000000001" customHeight="1" x14ac:dyDescent="0.25">
      <c r="A23" s="5" t="str">
        <f>HYPERLINK("#'Input - Freight'!A1", "Freight")</f>
        <v>Freight</v>
      </c>
      <c r="D23" s="2" t="s">
        <v>1045</v>
      </c>
    </row>
    <row r="24" spans="1:6" ht="20.100000000000001" customHeight="1" x14ac:dyDescent="0.25">
      <c r="A24" s="5" t="str">
        <f>HYPERLINK("#'Input - Solid waste'!A1", "Solid waste")</f>
        <v>Solid waste</v>
      </c>
    </row>
    <row r="25" spans="1:6" ht="20.100000000000001" customHeight="1" x14ac:dyDescent="0.25">
      <c r="A25" s="5" t="str">
        <f>HYPERLINK("#'Input - Manure sent off-site'!A1", "Manure sent off-site")</f>
        <v>Manure sent off-site</v>
      </c>
      <c r="D25" s="1" t="s">
        <v>1046</v>
      </c>
      <c r="E25" s="75">
        <v>500</v>
      </c>
      <c r="F25" s="16" t="s">
        <v>1037</v>
      </c>
    </row>
    <row r="26" spans="1:6" ht="20.100000000000001" customHeight="1" x14ac:dyDescent="0.25">
      <c r="A26" s="5" t="str">
        <f>HYPERLINK("#'Input - Data quality'!A1", "Data quality")</f>
        <v>Data quality</v>
      </c>
    </row>
    <row r="27" spans="1:6" ht="20.100000000000001" customHeight="1" x14ac:dyDescent="0.25"/>
    <row r="28" spans="1:6" ht="20.100000000000001" customHeight="1" x14ac:dyDescent="0.25"/>
    <row r="29" spans="1:6" ht="20.100000000000001" customHeight="1" x14ac:dyDescent="0.25">
      <c r="A29" s="6" t="s">
        <v>2</v>
      </c>
    </row>
    <row r="30" spans="1:6" ht="20.100000000000001" customHeight="1" x14ac:dyDescent="0.25">
      <c r="A30" s="5" t="str">
        <f>HYPERLINK("#'3.3.1.1-2 Enteric Methane'!A1", "3.3.1.1-2 Enteric methane")</f>
        <v>3.3.1.1-2 Enteric methane</v>
      </c>
    </row>
    <row r="31" spans="1:6" ht="20.100000000000001" customHeight="1" x14ac:dyDescent="0.25">
      <c r="A31" s="5" t="str">
        <f>HYPERLINK("#'4.3.1.1-2 Methane'!A1", "4.3.1.1-2 Manure methane")</f>
        <v>4.3.1.1-2 Manure methane</v>
      </c>
    </row>
    <row r="32" spans="1:6" ht="20.100000000000001" customHeight="1" x14ac:dyDescent="0.25">
      <c r="A32" s="5" t="str">
        <f>HYPERLINK("#'4.3.1.3-4 Direct N20'!A1", "4.3.1.3-4 Direct N20")</f>
        <v>4.3.1.3-4 Direct N20</v>
      </c>
    </row>
    <row r="33" spans="1:1" ht="20.100000000000001" customHeight="1" x14ac:dyDescent="0.25">
      <c r="A33" s="5" t="str">
        <f>HYPERLINK("#'4.3.1.5 Atmos deposition'!A1", "4.3.1.5 Atmos deposition")</f>
        <v>4.3.1.5 Atmos deposition</v>
      </c>
    </row>
    <row r="34" spans="1:1" ht="20.100000000000001" customHeight="1" x14ac:dyDescent="0.25">
      <c r="A34" s="5" t="str">
        <f>HYPERLINK("#'4.3.1.6-7 Leaching and runoff'!A1", "4.3.1.6-7 Leaching &amp; runoff")</f>
        <v>4.3.1.6-7 Leaching &amp; runoff</v>
      </c>
    </row>
    <row r="35" spans="1:1" ht="20.100000000000001" customHeight="1" x14ac:dyDescent="0.25">
      <c r="A35" s="5" t="str">
        <f>HYPERLINK("#'4.3.1.8 Manure applied to soils'!A1", "4.3.1.8 Manure applied to soils")</f>
        <v>4.3.1.8 Manure applied to soils</v>
      </c>
    </row>
    <row r="36" spans="1:1" ht="20.100000000000001" customHeight="1" x14ac:dyDescent="0.25">
      <c r="A36" s="5" t="str">
        <f>HYPERLINK("#'4.3.1.9 Soil direct N2O'!A1", "4.3.1.9 Soil direct N2O")</f>
        <v>4.3.1.9 Soil direct N2O</v>
      </c>
    </row>
    <row r="37" spans="1:1" ht="20.100000000000001" customHeight="1" x14ac:dyDescent="0.25">
      <c r="A37" s="5" t="str">
        <f>HYPERLINK("#'4.3.1.10-11 Soil Atmos Dep'!A1", "4.3.1.10-11 Soil Atmos Deposition")</f>
        <v>4.3.1.10-11 Soil Atmos Deposition</v>
      </c>
    </row>
    <row r="38" spans="1:1" ht="20.100000000000001" customHeight="1" x14ac:dyDescent="0.25">
      <c r="A38" s="5" t="str">
        <f>HYPERLINK("#'4.3.1.12-13 Soil leach runoff'!A1", "4.3.1.12-13 Soil leach &amp; runoff")</f>
        <v>4.3.1.12-13 Soil leach &amp; runoff</v>
      </c>
    </row>
    <row r="39" spans="1:1" ht="20.100000000000001" customHeight="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sheetData>
  <conditionalFormatting sqref="D16:G16">
    <cfRule type="expression" dxfId="78" priority="1">
      <formula>$D$24&gt;$D$11</formula>
    </cfRule>
  </conditionalFormatting>
  <dataValidations count="2">
    <dataValidation type="list" allowBlank="1" showInputMessage="1" showErrorMessage="1" sqref="E10" xr:uid="{47DCD2E9-73FE-41C0-B5BE-3A9399C6E3BB}">
      <formula1>INDIRECT("Table_SourceData_Fertiliser_IrrigationMethods[Irrigation method]")</formula1>
    </dataValidation>
    <dataValidation type="list" allowBlank="1" showInputMessage="1" showErrorMessage="1" sqref="E9" xr:uid="{2D52879C-3CEE-4286-924E-39F877036A61}">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25.5" x14ac:dyDescent="0.35">
      <c r="A1" s="10" t="e" vm="1">
        <v>#VALUE!</v>
      </c>
      <c r="C1" s="10" t="s">
        <v>160</v>
      </c>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x14ac:dyDescent="0.25">
      <c r="A5" s="5" t="str">
        <f>HYPERLINK("#'Results - Product EI'!A1", "Results - Product Emissions Intensity")</f>
        <v>Results - Product Emissions Intensity</v>
      </c>
      <c r="D5" s="69" t="s">
        <v>165</v>
      </c>
      <c r="E5" s="69"/>
      <c r="F5" s="69"/>
      <c r="G5" s="69"/>
    </row>
    <row r="6" spans="1:11" x14ac:dyDescent="0.25">
      <c r="A6" s="5" t="str">
        <f>HYPERLINK("#'Results'!A1", "Results")</f>
        <v>Results</v>
      </c>
      <c r="F6" s="16"/>
    </row>
    <row r="7" spans="1:11" x14ac:dyDescent="0.25">
      <c r="D7" s="1" t="s">
        <v>161</v>
      </c>
      <c r="E7" s="15" t="s">
        <v>164</v>
      </c>
      <c r="F7" s="16"/>
    </row>
    <row r="8" spans="1:11" x14ac:dyDescent="0.25">
      <c r="D8" s="1" t="s">
        <v>162</v>
      </c>
      <c r="E8" s="15" t="s">
        <v>164</v>
      </c>
      <c r="F8" s="16"/>
    </row>
    <row r="9" spans="1:11" x14ac:dyDescent="0.25">
      <c r="A9" s="7" t="s">
        <v>0</v>
      </c>
      <c r="D9" s="1" t="s">
        <v>63</v>
      </c>
      <c r="E9" s="15" t="str" cm="1">
        <f t="array" ref="E9">X_Cell_Pasture_IrrigationMethod</f>
        <v>Surface irrigation</v>
      </c>
    </row>
    <row r="10" spans="1:11" x14ac:dyDescent="0.25">
      <c r="A10" s="5" t="str">
        <f>HYPERLINK("#'Input - Enterprise'!A1", "Enterprise")</f>
        <v>Enterprise</v>
      </c>
      <c r="D10" s="1" t="s">
        <v>163</v>
      </c>
      <c r="E10" s="15" cm="1">
        <f t="array" ref="E10">X_Cell_Pasture_AreaUnderPasture</f>
        <v>1000</v>
      </c>
    </row>
    <row r="11" spans="1:11" x14ac:dyDescent="0.25">
      <c r="A11" s="5" t="str">
        <f>HYPERLINK("#'Input - Site'!A1", "Site")</f>
        <v>Site</v>
      </c>
    </row>
    <row r="12" spans="1:11" x14ac:dyDescent="0.25">
      <c r="A12" s="5" t="str">
        <f>HYPERLINK("#'Input - Dairy'!A1", "Dairy")</f>
        <v>Dairy</v>
      </c>
    </row>
    <row r="13" spans="1:11" x14ac:dyDescent="0.25">
      <c r="A13" s="5" t="str">
        <f>HYPERLINK("#'Input - Livestock sales'!A1", "Livestock sales")</f>
        <v>Livestock sales</v>
      </c>
    </row>
    <row r="14" spans="1:11" x14ac:dyDescent="0.25">
      <c r="A14" s="5" t="str">
        <f>HYPERLINK("#'Input - Dairy cattle purchases'!A1", "Dairy cattle purchases")</f>
        <v>Dairy cattle purchases</v>
      </c>
    </row>
    <row r="15" spans="1:11" x14ac:dyDescent="0.25">
      <c r="A15" s="5" t="str">
        <f>HYPERLINK("#'Input - Pasture'!A1", "Pasture")</f>
        <v>Pasture</v>
      </c>
    </row>
    <row r="16" spans="1:11" x14ac:dyDescent="0.25">
      <c r="A16" s="99"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5" t="str">
        <f>HYPERLINK("#'Input - Data quality'!A1", "Data quality")</f>
        <v>Data quality</v>
      </c>
    </row>
    <row r="29" spans="1:1" x14ac:dyDescent="0.25">
      <c r="A29" s="6" t="s">
        <v>2</v>
      </c>
    </row>
    <row r="30" spans="1:1" x14ac:dyDescent="0.25">
      <c r="A30" s="5" t="str">
        <f>HYPERLINK("#'3.3.1.1-2 Enteric Methane'!A1", "3.3.1.1-2 Enteric methane")</f>
        <v>3.3.1.1-2 Enteric methane</v>
      </c>
    </row>
    <row r="31" spans="1:1" x14ac:dyDescent="0.25">
      <c r="A31" s="5" t="str">
        <f>HYPERLINK("#'4.3.1.1-2 Methane'!A1", "4.3.1.1-2 Manure methane")</f>
        <v>4.3.1.1-2 Manure methane</v>
      </c>
    </row>
    <row r="32" spans="1:1"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6644B-0335-48A1-B31B-B4588AB4C26E}">
  <sheetPr>
    <tabColor theme="5" tint="-0.249977111117893"/>
  </sheetPr>
  <dimension ref="A1:AA378"/>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630</v>
      </c>
    </row>
    <row r="2" spans="1:27" s="3" customFormat="1" ht="20.100000000000001" customHeight="1" x14ac:dyDescent="0.25">
      <c r="A2"/>
    </row>
    <row r="3" spans="1:27" ht="20.100000000000001" customHeight="1" x14ac:dyDescent="0.25">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5">
      <c r="A4" s="5" t="str">
        <f>HYPERLINK("#'Results - Activity period'!A1", "Results - Activity period")</f>
        <v>Results - Activity period</v>
      </c>
    </row>
    <row r="5" spans="1:27" ht="20.100000000000001" customHeight="1" x14ac:dyDescent="0.25">
      <c r="A5" s="5" t="str">
        <f>HYPERLINK("#'Results - Product EI'!A1", "Results - Product Emissions Intensity")</f>
        <v>Results - Product Emissions Intensity</v>
      </c>
      <c r="D5" s="2" t="s">
        <v>631</v>
      </c>
      <c r="E5" s="24"/>
      <c r="F5" s="24"/>
      <c r="G5" s="24"/>
      <c r="H5" s="24"/>
      <c r="I5" s="24"/>
      <c r="J5" s="24"/>
      <c r="K5" s="24"/>
      <c r="L5" s="24"/>
      <c r="M5" s="24"/>
    </row>
    <row r="6" spans="1:27" ht="20.100000000000001" customHeight="1" x14ac:dyDescent="0.25">
      <c r="A6" s="5" t="str">
        <f>HYPERLINK("#'Results'!A1", "Results")</f>
        <v>Results</v>
      </c>
      <c r="D6" s="8"/>
      <c r="E6" s="8"/>
      <c r="F6" s="8"/>
      <c r="G6" s="8"/>
      <c r="H6" s="8"/>
      <c r="I6" s="8"/>
      <c r="J6" s="8"/>
      <c r="K6" s="8"/>
      <c r="L6" s="8"/>
      <c r="M6" s="8"/>
    </row>
    <row r="7" spans="1:27" ht="20.100000000000001" customHeight="1" x14ac:dyDescent="0.25">
      <c r="D7" s="139" t="s">
        <v>632</v>
      </c>
      <c r="E7" s="43"/>
      <c r="F7" s="43"/>
      <c r="G7" s="43"/>
      <c r="H7" s="44"/>
      <c r="I7" s="144"/>
      <c r="J7" s="145"/>
      <c r="K7" s="146"/>
      <c r="L7" s="146"/>
      <c r="M7" s="146"/>
    </row>
    <row r="8" spans="1:27" ht="20.100000000000001" customHeight="1" x14ac:dyDescent="0.25">
      <c r="D8" s="45" t="s">
        <v>633</v>
      </c>
      <c r="E8" s="46"/>
      <c r="F8" s="46"/>
      <c r="G8" s="46"/>
      <c r="H8" s="47"/>
      <c r="I8" s="8"/>
      <c r="J8" s="8"/>
      <c r="K8" s="8"/>
      <c r="L8" s="8"/>
      <c r="M8" s="8"/>
    </row>
    <row r="9" spans="1:27" ht="20.100000000000001" customHeight="1" x14ac:dyDescent="0.25">
      <c r="A9" s="7" t="s">
        <v>0</v>
      </c>
      <c r="D9" s="8"/>
      <c r="E9" s="8"/>
      <c r="F9" s="8"/>
      <c r="G9" s="8"/>
      <c r="H9" s="8"/>
      <c r="I9" s="8"/>
      <c r="J9" s="8"/>
      <c r="K9" s="8"/>
      <c r="L9" s="8"/>
      <c r="M9" s="8"/>
    </row>
    <row r="10" spans="1:27" ht="20.100000000000001" customHeight="1" x14ac:dyDescent="0.25">
      <c r="A10" s="5" t="str">
        <f>HYPERLINK("#'Input - Enterprise'!A1", "Enterprise")</f>
        <v>Enterprise</v>
      </c>
      <c r="D10" s="78" t="s">
        <v>634</v>
      </c>
      <c r="E10" s="8"/>
      <c r="F10" s="8"/>
      <c r="G10" s="8"/>
      <c r="H10" s="8"/>
      <c r="I10" s="8"/>
      <c r="J10" s="8"/>
      <c r="K10" s="8"/>
      <c r="L10" s="8"/>
      <c r="M10" s="8"/>
    </row>
    <row r="11" spans="1:27" ht="20.100000000000001" customHeight="1" x14ac:dyDescent="0.25">
      <c r="A11" s="5" t="str">
        <f>HYPERLINK("#'Input - Site'!A1", "Site")</f>
        <v>Site</v>
      </c>
      <c r="D11" s="147" t="s">
        <v>635</v>
      </c>
      <c r="E11" s="148" t="s">
        <v>636</v>
      </c>
      <c r="F11" s="149" t="s">
        <v>637</v>
      </c>
      <c r="G11" s="148" t="s">
        <v>638</v>
      </c>
      <c r="H11" s="149" t="s">
        <v>639</v>
      </c>
      <c r="I11" s="148" t="s">
        <v>640</v>
      </c>
      <c r="J11" s="147" t="s">
        <v>641</v>
      </c>
      <c r="K11" s="147" t="s">
        <v>642</v>
      </c>
      <c r="L11" s="147" t="s">
        <v>643</v>
      </c>
      <c r="M11" s="147" t="s">
        <v>644</v>
      </c>
      <c r="N11" s="147" t="s">
        <v>645</v>
      </c>
      <c r="O11" s="147" t="s">
        <v>646</v>
      </c>
      <c r="P11" s="147" t="s">
        <v>647</v>
      </c>
      <c r="Q11" s="147" t="s">
        <v>648</v>
      </c>
      <c r="R11" s="147" t="s">
        <v>649</v>
      </c>
      <c r="S11" s="147" t="s">
        <v>650</v>
      </c>
      <c r="T11" s="147" t="s">
        <v>651</v>
      </c>
      <c r="U11" s="147" t="s">
        <v>652</v>
      </c>
      <c r="V11" s="147" t="s">
        <v>653</v>
      </c>
      <c r="W11" s="147" t="s">
        <v>654</v>
      </c>
      <c r="X11" s="147" t="s">
        <v>655</v>
      </c>
      <c r="Y11" s="147" t="s">
        <v>656</v>
      </c>
      <c r="Z11" s="147" t="s">
        <v>657</v>
      </c>
    </row>
    <row r="12" spans="1:27" ht="20.100000000000001" customHeight="1" x14ac:dyDescent="0.25">
      <c r="A12" s="5" t="str">
        <f>HYPERLINK("#'Input - Dairy'!A1", "Dairy")</f>
        <v>Dairy</v>
      </c>
      <c r="D12" s="150" t="s">
        <v>658</v>
      </c>
      <c r="E12" s="151">
        <v>100</v>
      </c>
      <c r="F12" s="15" t="str">
        <f>IFERROR(_xlfn.XLOOKUP(Table_Input_InorganicFertiliser_Brands[[#This Row],[Product (select)]],FertiliserProducts[Product],FertiliserProducts[Unit]), "kg")</f>
        <v>kg</v>
      </c>
      <c r="G12" s="151" t="str">
        <f t="shared" ref="G12" si="0">X_Cell_Fertiliser_AreaUnderCropping</f>
        <v>Pasture</v>
      </c>
      <c r="H12" s="152">
        <f>IFERROR(_xlfn.XLOOKUP(Table_Input_InorganicFertiliser_Brands[[#This Row],[Product (select)]],FertiliserProducts[Product],FertiliserProducts[Density]), 1)</f>
        <v>1</v>
      </c>
      <c r="I12" s="153" t="e">
        <f>(Table_Input_InorganicFertiliser_Brands[[#This Row],[Amount applied per hectare]]*Table_Input_InorganicFertiliser_Brands[[#This Row],[Density]])*Table_Input_InorganicFertiliser_Brands[[#This Row],[Application area (ha)]]</f>
        <v>#VALUE!</v>
      </c>
      <c r="J12" s="153"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53"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53"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53"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53"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53"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53"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53"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53"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53"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53"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53"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53" cm="1">
        <f t="array" ref="W12">IFERROR(Fertiliser_InputFunctions.Fertiliser_FertiliserProductLookup(Table_Input_InorganicFertiliser_Brands[[#This Row],[Product (select)]], "N declared", FertiliserProducts[#Data], FertiliserProducts[Product], FertiliserProducts[#Headers])*0.01, 0)</f>
        <v>0.46</v>
      </c>
      <c r="X12"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53" t="str">
        <f>IFERROR(_xlfn.XLOOKUP(Table_Input_InorganicFertiliser_Brands[[#This Row],[Product (select)]],FertiliserProducts[Product],FertiliserProducts[Urea source]), "")</f>
        <v/>
      </c>
      <c r="Z12" s="153" t="str">
        <f>IFERROR(_xlfn.XLOOKUP(Table_Input_InorganicFertiliser_Brands[[#This Row],[Product (select)]],FertiliserProducts[Product],FertiliserProducts[Ammonia source]), "")</f>
        <v/>
      </c>
    </row>
    <row r="13" spans="1:27" ht="20.100000000000001" customHeight="1" x14ac:dyDescent="0.25">
      <c r="A13" s="5" t="str">
        <f>HYPERLINK("#'Input - Livestock sales'!A1", "Livestock sales")</f>
        <v>Livestock sales</v>
      </c>
      <c r="D13" s="150" t="s">
        <v>659</v>
      </c>
      <c r="E13" s="151">
        <v>100</v>
      </c>
      <c r="F13" s="15" t="str">
        <f>IFERROR(_xlfn.XLOOKUP(Table_Input_InorganicFertiliser_Brands[[#This Row],[Product (select)]],FertiliserProducts[Product],FertiliserProducts[Unit]), "kg")</f>
        <v>kg</v>
      </c>
      <c r="G13" s="151" t="str">
        <f t="shared" ref="G13" si="1">X_Cell_Fertiliser_AreaUnderCropping</f>
        <v>Pasture</v>
      </c>
      <c r="H13" s="152">
        <f>IFERROR(_xlfn.XLOOKUP(Table_Input_InorganicFertiliser_Brands[[#This Row],[Product (select)]],FertiliserProducts[Product],FertiliserProducts[Density]), 1)</f>
        <v>1</v>
      </c>
      <c r="I13" s="153" t="e">
        <f>(Table_Input_InorganicFertiliser_Brands[[#This Row],[Amount applied per hectare]]*Table_Input_InorganicFertiliser_Brands[[#This Row],[Density]])*Table_Input_InorganicFertiliser_Brands[[#This Row],[Application area (ha)]]</f>
        <v>#VALUE!</v>
      </c>
      <c r="J13" s="153"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53"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53"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53"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53"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53"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53"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53"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53"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53"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53"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53"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54" cm="1">
        <f t="array" ref="W13">IFERROR(Fertiliser_InputFunctions.Fertiliser_FertiliserProductLookup(Table_Input_InorganicFertiliser_Brands[[#This Row],[Product (select)]], "N declared", FertiliserProducts[#Data], FertiliserProducts[Product], FertiliserProducts[#Headers])*0.01, 0)</f>
        <v>0.24</v>
      </c>
      <c r="X13"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53" t="str">
        <f>IFERROR(_xlfn.XLOOKUP(Table_Input_InorganicFertiliser_Brands[[#This Row],[Product (select)]],FertiliserProducts[Product],FertiliserProducts[Urea source]), "")</f>
        <v/>
      </c>
      <c r="Z13" s="153" t="str">
        <f>IFERROR(_xlfn.XLOOKUP(Table_Input_InorganicFertiliser_Brands[[#This Row],[Product (select)]],FertiliserProducts[Product],FertiliserProducts[Ammonia source]), "")</f>
        <v/>
      </c>
    </row>
    <row r="14" spans="1:27" ht="20.100000000000001" customHeight="1" x14ac:dyDescent="0.25">
      <c r="A14" s="5" t="str">
        <f>HYPERLINK("#'Input - Dairy cattle purchases'!A1", "Dairy cattle purchases")</f>
        <v>Dairy cattle purchases</v>
      </c>
      <c r="D14" s="150" t="s">
        <v>660</v>
      </c>
      <c r="E14" s="151">
        <v>100</v>
      </c>
      <c r="F14" s="15" t="str">
        <f>IFERROR(_xlfn.XLOOKUP(Table_Input_InorganicFertiliser_Brands[[#This Row],[Product (select)]],FertiliserProducts[Product],FertiliserProducts[Unit]), "kg")</f>
        <v>kg</v>
      </c>
      <c r="G14" s="151" t="str">
        <f t="shared" ref="G14" si="2">X_Cell_Fertiliser_AreaUnderCropping</f>
        <v>Pasture</v>
      </c>
      <c r="H14" s="152">
        <f>IFERROR(_xlfn.XLOOKUP(Table_Input_InorganicFertiliser_Brands[[#This Row],[Product (select)]],FertiliserProducts[Product],FertiliserProducts[Density]), 1)</f>
        <v>1</v>
      </c>
      <c r="I14" s="153" t="e">
        <f>(Table_Input_InorganicFertiliser_Brands[[#This Row],[Amount applied per hectare]]*Table_Input_InorganicFertiliser_Brands[[#This Row],[Density]])*Table_Input_InorganicFertiliser_Brands[[#This Row],[Application area (ha)]]</f>
        <v>#VALUE!</v>
      </c>
      <c r="J14" s="153"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53"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53"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53"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53"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53"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53"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53"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53"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53"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53"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53"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54" cm="1">
        <f t="array" ref="W14">IFERROR(Fertiliser_InputFunctions.Fertiliser_FertiliserProductLookup(Table_Input_InorganicFertiliser_Brands[[#This Row],[Product (select)]], "N declared", FertiliserProducts[#Data], FertiliserProducts[Product], FertiliserProducts[#Headers])*0.01, 0)</f>
        <v>0.17899999999999999</v>
      </c>
      <c r="X14"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53" t="str">
        <f>IFERROR(_xlfn.XLOOKUP(Table_Input_InorganicFertiliser_Brands[[#This Row],[Product (select)]],FertiliserProducts[Product],FertiliserProducts[Urea source]), "")</f>
        <v/>
      </c>
      <c r="Z14" s="153" t="str">
        <f>IFERROR(_xlfn.XLOOKUP(Table_Input_InorganicFertiliser_Brands[[#This Row],[Product (select)]],FertiliserProducts[Product],FertiliserProducts[Ammonia source]), "")</f>
        <v/>
      </c>
    </row>
    <row r="15" spans="1:27" ht="20.100000000000001" customHeight="1" x14ac:dyDescent="0.25">
      <c r="A15" s="5" t="str">
        <f>HYPERLINK("#'Input - Pasture'!A1", "Pasture")</f>
        <v>Pasture</v>
      </c>
      <c r="D15" s="150"/>
      <c r="E15" s="151"/>
      <c r="F15" s="15" t="str">
        <f>IFERROR(_xlfn.XLOOKUP(Table_Input_InorganicFertiliser_Brands[[#This Row],[Product (select)]],FertiliserProducts[Product],FertiliserProducts[Unit]), "kg")</f>
        <v>kg</v>
      </c>
      <c r="G15" s="151" t="str">
        <f t="shared" ref="G15" si="3">X_Cell_Fertiliser_AreaUnderCropping</f>
        <v>Pasture</v>
      </c>
      <c r="H15" s="152">
        <f>IFERROR(_xlfn.XLOOKUP(Table_Input_InorganicFertiliser_Brands[[#This Row],[Product (select)]],FertiliserProducts[Product],FertiliserProducts[Density]), 1)</f>
        <v>1</v>
      </c>
      <c r="I15" s="153" t="e">
        <f>(Table_Input_InorganicFertiliser_Brands[[#This Row],[Amount applied per hectare]]*Table_Input_InorganicFertiliser_Brands[[#This Row],[Density]])*Table_Input_InorganicFertiliser_Brands[[#This Row],[Application area (ha)]]</f>
        <v>#VALUE!</v>
      </c>
      <c r="J15" s="153"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53"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53"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53"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53"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53"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53"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53"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53"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53"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53"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53"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54" cm="1">
        <f t="array" ref="W15">IFERROR(Fertiliser_InputFunctions.Fertiliser_FertiliserProductLookup(Table_Input_InorganicFertiliser_Brands[[#This Row],[Product (select)]], "N declared", FertiliserProducts[#Data], FertiliserProducts[Product], FertiliserProducts[#Headers])*0.01, 0)</f>
        <v>0</v>
      </c>
      <c r="X15"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53" t="str">
        <f>IFERROR(_xlfn.XLOOKUP(Table_Input_InorganicFertiliser_Brands[[#This Row],[Product (select)]],FertiliserProducts[Product],FertiliserProducts[Urea source]), "")</f>
        <v/>
      </c>
      <c r="Z15" s="153" t="str">
        <f>IFERROR(_xlfn.XLOOKUP(Table_Input_InorganicFertiliser_Brands[[#This Row],[Product (select)]],FertiliserProducts[Product],FertiliserProducts[Ammonia source]), "")</f>
        <v/>
      </c>
    </row>
    <row r="16" spans="1:27" ht="20.100000000000001" customHeight="1" x14ac:dyDescent="0.25">
      <c r="A16" s="5" t="str">
        <f>HYPERLINK("#'Input - Fert Prod System'!A1", "Fert Prod System")</f>
        <v>Fert Prod System</v>
      </c>
      <c r="D16" s="150"/>
      <c r="E16" s="151"/>
      <c r="F16" s="15" t="str">
        <f>IFERROR(_xlfn.XLOOKUP(Table_Input_InorganicFertiliser_Brands[[#This Row],[Product (select)]],FertiliserProducts[Product],FertiliserProducts[Unit]), "kg")</f>
        <v>kg</v>
      </c>
      <c r="G16" s="151" t="str">
        <f t="shared" ref="G16" si="4">X_Cell_Fertiliser_AreaUnderCropping</f>
        <v>Pasture</v>
      </c>
      <c r="H16" s="152">
        <f>IFERROR(_xlfn.XLOOKUP(Table_Input_InorganicFertiliser_Brands[[#This Row],[Product (select)]],FertiliserProducts[Product],FertiliserProducts[Density]), 1)</f>
        <v>1</v>
      </c>
      <c r="I16" s="153" t="e">
        <f>(Table_Input_InorganicFertiliser_Brands[[#This Row],[Amount applied per hectare]]*Table_Input_InorganicFertiliser_Brands[[#This Row],[Density]])*Table_Input_InorganicFertiliser_Brands[[#This Row],[Application area (ha)]]</f>
        <v>#VALUE!</v>
      </c>
      <c r="J16" s="153"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53"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53"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53"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53"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53"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53"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53"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53"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53"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53"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53"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54" cm="1">
        <f t="array" ref="W16">IFERROR(Fertiliser_InputFunctions.Fertiliser_FertiliserProductLookup(Table_Input_InorganicFertiliser_Brands[[#This Row],[Product (select)]], "N declared", FertiliserProducts[#Data], FertiliserProducts[Product], FertiliserProducts[#Headers])*0.01, 0)</f>
        <v>0</v>
      </c>
      <c r="X16"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53" t="str">
        <f>IFERROR(_xlfn.XLOOKUP(Table_Input_InorganicFertiliser_Brands[[#This Row],[Product (select)]],FertiliserProducts[Product],FertiliserProducts[Urea source]), "")</f>
        <v/>
      </c>
      <c r="Z16" s="153" t="str">
        <f>IFERROR(_xlfn.XLOOKUP(Table_Input_InorganicFertiliser_Brands[[#This Row],[Product (select)]],FertiliserProducts[Product],FertiliserProducts[Ammonia source]), "")</f>
        <v/>
      </c>
    </row>
    <row r="17" spans="1:26" ht="20.100000000000001" customHeight="1" x14ac:dyDescent="0.25">
      <c r="A17" s="99" t="str">
        <f>HYPERLINK("#'Input - Fertiliser'!A1", "Fertiliser")</f>
        <v>Fertiliser</v>
      </c>
      <c r="D17" s="150"/>
      <c r="E17" s="151"/>
      <c r="F17" s="15" t="str">
        <f>IFERROR(_xlfn.XLOOKUP(Table_Input_InorganicFertiliser_Brands[[#This Row],[Product (select)]],FertiliserProducts[Product],FertiliserProducts[Unit]), "kg")</f>
        <v>kg</v>
      </c>
      <c r="G17" s="151" t="str">
        <f t="shared" ref="G17" si="5">X_Cell_Fertiliser_AreaUnderCropping</f>
        <v>Pasture</v>
      </c>
      <c r="H17" s="152">
        <f>IFERROR(_xlfn.XLOOKUP(Table_Input_InorganicFertiliser_Brands[[#This Row],[Product (select)]],FertiliserProducts[Product],FertiliserProducts[Density]), 1)</f>
        <v>1</v>
      </c>
      <c r="I17" s="153" t="e">
        <f>(Table_Input_InorganicFertiliser_Brands[[#This Row],[Amount applied per hectare]]*Table_Input_InorganicFertiliser_Brands[[#This Row],[Density]])*Table_Input_InorganicFertiliser_Brands[[#This Row],[Application area (ha)]]</f>
        <v>#VALUE!</v>
      </c>
      <c r="J17" s="153"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53"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53"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53"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53"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53"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53"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53"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53"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53"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53"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53"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54" cm="1">
        <f t="array" ref="W17">IFERROR(Fertiliser_InputFunctions.Fertiliser_FertiliserProductLookup(Table_Input_InorganicFertiliser_Brands[[#This Row],[Product (select)]], "N declared", FertiliserProducts[#Data], FertiliserProducts[Product], FertiliserProducts[#Headers])*0.01, 0)</f>
        <v>0</v>
      </c>
      <c r="X17"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53" t="str">
        <f>IFERROR(_xlfn.XLOOKUP(Table_Input_InorganicFertiliser_Brands[[#This Row],[Product (select)]],FertiliserProducts[Product],FertiliserProducts[Urea source]), "")</f>
        <v/>
      </c>
      <c r="Z17" s="153" t="str">
        <f>IFERROR(_xlfn.XLOOKUP(Table_Input_InorganicFertiliser_Brands[[#This Row],[Product (select)]],FertiliserProducts[Product],FertiliserProducts[Ammonia source]), "")</f>
        <v/>
      </c>
    </row>
    <row r="18" spans="1:26" ht="20.100000000000001" customHeight="1" x14ac:dyDescent="0.25">
      <c r="A18" s="5" t="str">
        <f>HYPERLINK("#'Input - Fuel'!A1", "Fuel")</f>
        <v>Fuel</v>
      </c>
      <c r="D18" s="150"/>
      <c r="E18" s="151"/>
      <c r="F18" s="15" t="str">
        <f>IFERROR(_xlfn.XLOOKUP(Table_Input_InorganicFertiliser_Brands[[#This Row],[Product (select)]],FertiliserProducts[Product],FertiliserProducts[Unit]), "kg")</f>
        <v>kg</v>
      </c>
      <c r="G18" s="151" t="str">
        <f t="shared" ref="G18" si="6">X_Cell_Fertiliser_AreaUnderCropping</f>
        <v>Pasture</v>
      </c>
      <c r="H18" s="152">
        <f>IFERROR(_xlfn.XLOOKUP(Table_Input_InorganicFertiliser_Brands[[#This Row],[Product (select)]],FertiliserProducts[Product],FertiliserProducts[Density]), 1)</f>
        <v>1</v>
      </c>
      <c r="I18" s="153" t="e">
        <f>(Table_Input_InorganicFertiliser_Brands[[#This Row],[Amount applied per hectare]]*Table_Input_InorganicFertiliser_Brands[[#This Row],[Density]])*Table_Input_InorganicFertiliser_Brands[[#This Row],[Application area (ha)]]</f>
        <v>#VALUE!</v>
      </c>
      <c r="J18" s="153"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53"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53"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53"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53"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53"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53"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53"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53"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53"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53"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53"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54" cm="1">
        <f t="array" ref="W18">IFERROR(Fertiliser_InputFunctions.Fertiliser_FertiliserProductLookup(Table_Input_InorganicFertiliser_Brands[[#This Row],[Product (select)]], "N declared", FertiliserProducts[#Data], FertiliserProducts[Product], FertiliserProducts[#Headers])*0.01, 0)</f>
        <v>0</v>
      </c>
      <c r="X18"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53" t="str">
        <f>IFERROR(_xlfn.XLOOKUP(Table_Input_InorganicFertiliser_Brands[[#This Row],[Product (select)]],FertiliserProducts[Product],FertiliserProducts[Urea source]), "")</f>
        <v/>
      </c>
      <c r="Z18" s="153" t="str">
        <f>IFERROR(_xlfn.XLOOKUP(Table_Input_InorganicFertiliser_Brands[[#This Row],[Product (select)]],FertiliserProducts[Product],FertiliserProducts[Ammonia source]), "")</f>
        <v/>
      </c>
    </row>
    <row r="19" spans="1:26" ht="20.100000000000001" customHeight="1" x14ac:dyDescent="0.25">
      <c r="A19" s="5" t="str">
        <f>HYPERLINK("#'Input - Electricity'!A1", "Electricity")</f>
        <v>Electricity</v>
      </c>
      <c r="D19" s="150"/>
      <c r="E19" s="151"/>
      <c r="F19" s="15" t="str">
        <f>IFERROR(_xlfn.XLOOKUP(Table_Input_InorganicFertiliser_Brands[[#This Row],[Product (select)]],FertiliserProducts[Product],FertiliserProducts[Unit]), "kg")</f>
        <v>kg</v>
      </c>
      <c r="G19" s="151" t="str">
        <f t="shared" ref="G19" si="7">X_Cell_Fertiliser_AreaUnderCropping</f>
        <v>Pasture</v>
      </c>
      <c r="H19" s="152">
        <f>IFERROR(_xlfn.XLOOKUP(Table_Input_InorganicFertiliser_Brands[[#This Row],[Product (select)]],FertiliserProducts[Product],FertiliserProducts[Density]), 1)</f>
        <v>1</v>
      </c>
      <c r="I19" s="153" t="e">
        <f>(Table_Input_InorganicFertiliser_Brands[[#This Row],[Amount applied per hectare]]*Table_Input_InorganicFertiliser_Brands[[#This Row],[Density]])*Table_Input_InorganicFertiliser_Brands[[#This Row],[Application area (ha)]]</f>
        <v>#VALUE!</v>
      </c>
      <c r="J19" s="153"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53"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53"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53"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53"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53"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53"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53"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53"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53"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53"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53"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54" cm="1">
        <f t="array" ref="W19">IFERROR(Fertiliser_InputFunctions.Fertiliser_FertiliserProductLookup(Table_Input_InorganicFertiliser_Brands[[#This Row],[Product (select)]], "N declared", FertiliserProducts[#Data], FertiliserProducts[Product], FertiliserProducts[#Headers])*0.01, 0)</f>
        <v>0</v>
      </c>
      <c r="X19"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53" t="str">
        <f>IFERROR(_xlfn.XLOOKUP(Table_Input_InorganicFertiliser_Brands[[#This Row],[Product (select)]],FertiliserProducts[Product],FertiliserProducts[Urea source]), "")</f>
        <v/>
      </c>
      <c r="Z19" s="153" t="str">
        <f>IFERROR(_xlfn.XLOOKUP(Table_Input_InorganicFertiliser_Brands[[#This Row],[Product (select)]],FertiliserProducts[Product],FertiliserProducts[Ammonia source]), "")</f>
        <v/>
      </c>
    </row>
    <row r="20" spans="1:26" ht="20.100000000000001" customHeight="1" x14ac:dyDescent="0.25">
      <c r="A20" s="5" t="str">
        <f>HYPERLINK("#'Input - Common farm inputs'!A1", "Common farm inputs")</f>
        <v>Common farm inputs</v>
      </c>
      <c r="D20" s="150"/>
      <c r="E20" s="151"/>
      <c r="F20" s="15" t="str">
        <f>IFERROR(_xlfn.XLOOKUP(Table_Input_InorganicFertiliser_Brands[[#This Row],[Product (select)]],FertiliserProducts[Product],FertiliserProducts[Unit]), "kg")</f>
        <v>kg</v>
      </c>
      <c r="G20" s="151" t="str">
        <f t="shared" ref="G20" si="8">X_Cell_Fertiliser_AreaUnderCropping</f>
        <v>Pasture</v>
      </c>
      <c r="H20" s="152">
        <f>IFERROR(_xlfn.XLOOKUP(Table_Input_InorganicFertiliser_Brands[[#This Row],[Product (select)]],FertiliserProducts[Product],FertiliserProducts[Density]), 1)</f>
        <v>1</v>
      </c>
      <c r="I20" s="153" t="e">
        <f>(Table_Input_InorganicFertiliser_Brands[[#This Row],[Amount applied per hectare]]*Table_Input_InorganicFertiliser_Brands[[#This Row],[Density]])*Table_Input_InorganicFertiliser_Brands[[#This Row],[Application area (ha)]]</f>
        <v>#VALUE!</v>
      </c>
      <c r="J20" s="153"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53"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53"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53"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53"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53"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53"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53"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53"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53"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53"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53"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54" cm="1">
        <f t="array" ref="W20">IFERROR(Fertiliser_InputFunctions.Fertiliser_FertiliserProductLookup(Table_Input_InorganicFertiliser_Brands[[#This Row],[Product (select)]], "N declared", FertiliserProducts[#Data], FertiliserProducts[Product], FertiliserProducts[#Headers])*0.01, 0)</f>
        <v>0</v>
      </c>
      <c r="X20"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53" t="str">
        <f>IFERROR(_xlfn.XLOOKUP(Table_Input_InorganicFertiliser_Brands[[#This Row],[Product (select)]],FertiliserProducts[Product],FertiliserProducts[Urea source]), "")</f>
        <v/>
      </c>
      <c r="Z20" s="153" t="str">
        <f>IFERROR(_xlfn.XLOOKUP(Table_Input_InorganicFertiliser_Brands[[#This Row],[Product (select)]],FertiliserProducts[Product],FertiliserProducts[Ammonia source]), "")</f>
        <v/>
      </c>
    </row>
    <row r="21" spans="1:26" ht="20.100000000000001" customHeight="1" x14ac:dyDescent="0.25">
      <c r="A21" s="5" t="str">
        <f>HYPERLINK("#'Input - Crop pasture farm input'!A1", "Crop pasture farm input")</f>
        <v>Crop pasture farm input</v>
      </c>
      <c r="D21" s="150"/>
      <c r="E21" s="151"/>
      <c r="F21" s="15" t="str">
        <f>IFERROR(_xlfn.XLOOKUP(Table_Input_InorganicFertiliser_Brands[[#This Row],[Product (select)]],FertiliserProducts[Product],FertiliserProducts[Unit]), "kg")</f>
        <v>kg</v>
      </c>
      <c r="G21" s="151" t="str">
        <f t="shared" ref="G21" si="9">X_Cell_Fertiliser_AreaUnderCropping</f>
        <v>Pasture</v>
      </c>
      <c r="H21" s="152">
        <f>IFERROR(_xlfn.XLOOKUP(Table_Input_InorganicFertiliser_Brands[[#This Row],[Product (select)]],FertiliserProducts[Product],FertiliserProducts[Density]), 1)</f>
        <v>1</v>
      </c>
      <c r="I21" s="153" t="e">
        <f>(Table_Input_InorganicFertiliser_Brands[[#This Row],[Amount applied per hectare]]*Table_Input_InorganicFertiliser_Brands[[#This Row],[Density]])*Table_Input_InorganicFertiliser_Brands[[#This Row],[Application area (ha)]]</f>
        <v>#VALUE!</v>
      </c>
      <c r="J21" s="153"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53"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53"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53"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53"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53"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53"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53"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53"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53"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53"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53"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53">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54" cm="1">
        <f t="array" ref="W21">IFERROR(Fertiliser_InputFunctions.Fertiliser_FertiliserProductLookup(Table_Input_InorganicFertiliser_Brands[[#This Row],[Product (select)]], "N declared", FertiliserProducts[#Data], FertiliserProducts[Product], FertiliserProducts[#Headers])*0.01, 0)</f>
        <v>0</v>
      </c>
      <c r="X21" s="153">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53" t="str">
        <f>IFERROR(_xlfn.XLOOKUP(Table_Input_InorganicFertiliser_Brands[[#This Row],[Product (select)]],FertiliserProducts[Product],FertiliserProducts[Urea source]), "")</f>
        <v/>
      </c>
      <c r="Z21" s="153" t="str">
        <f>IFERROR(_xlfn.XLOOKUP(Table_Input_InorganicFertiliser_Brands[[#This Row],[Product (select)]],FertiliserProducts[Product],FertiliserProducts[Ammonia source]), "")</f>
        <v/>
      </c>
    </row>
    <row r="22" spans="1:26" ht="20.100000000000001" customHeight="1" x14ac:dyDescent="0.25">
      <c r="A22" s="5" t="str">
        <f>HYPERLINK("#'Input - Livestock farm Inputs'!A1", "Livestock farm Inputs")</f>
        <v>Livestock farm Inputs</v>
      </c>
      <c r="D22" s="155"/>
      <c r="E22" s="156"/>
      <c r="F22" s="157"/>
      <c r="G22" s="157"/>
      <c r="H22" s="157"/>
      <c r="I22" s="157"/>
      <c r="J22" s="158"/>
      <c r="K22" s="158"/>
      <c r="L22" s="159"/>
      <c r="M22" s="159"/>
      <c r="N22" s="160"/>
      <c r="O22" s="160"/>
      <c r="P22" s="160"/>
      <c r="Q22" s="160"/>
      <c r="R22" s="160"/>
      <c r="S22" s="160"/>
      <c r="T22" s="160"/>
      <c r="U22" s="160"/>
      <c r="V22" s="160"/>
      <c r="W22" s="160"/>
      <c r="X22" s="160"/>
    </row>
    <row r="23" spans="1:26" ht="20.100000000000001" customHeight="1" x14ac:dyDescent="0.25">
      <c r="A23" s="5" t="str">
        <f>HYPERLINK("#'Input - Freight'!A1", "Freight")</f>
        <v>Freight</v>
      </c>
      <c r="D23" s="161" t="s">
        <v>661</v>
      </c>
      <c r="E23" s="162"/>
      <c r="F23" s="162"/>
      <c r="G23" s="162"/>
      <c r="H23" s="162"/>
      <c r="I23" s="162"/>
      <c r="J23" s="162"/>
      <c r="K23" s="162"/>
      <c r="L23" s="162"/>
      <c r="M23" s="162"/>
      <c r="N23" s="160"/>
      <c r="O23" s="160"/>
      <c r="P23" s="160"/>
      <c r="Q23" s="160"/>
      <c r="R23" s="160"/>
      <c r="S23" s="160"/>
      <c r="T23" s="160"/>
      <c r="V23" s="160"/>
      <c r="W23" s="160"/>
      <c r="X23" s="160"/>
    </row>
    <row r="24" spans="1:26" ht="20.100000000000001" customHeight="1" x14ac:dyDescent="0.25">
      <c r="A24" s="5" t="str">
        <f>HYPERLINK("#'Input - Solid waste'!A1", "Solid waste")</f>
        <v>Solid waste</v>
      </c>
      <c r="D24" s="148" t="s">
        <v>662</v>
      </c>
      <c r="E24" s="148" t="s">
        <v>663</v>
      </c>
      <c r="F24" s="148" t="s">
        <v>638</v>
      </c>
      <c r="G24" s="148" t="s">
        <v>640</v>
      </c>
      <c r="H24" s="148" t="s">
        <v>664</v>
      </c>
      <c r="I24" s="148" t="s">
        <v>642</v>
      </c>
      <c r="J24" s="148" t="s">
        <v>643</v>
      </c>
      <c r="K24" s="148" t="s">
        <v>644</v>
      </c>
      <c r="L24" s="148" t="s">
        <v>645</v>
      </c>
      <c r="M24" s="148" t="s">
        <v>646</v>
      </c>
      <c r="N24" s="148" t="s">
        <v>647</v>
      </c>
      <c r="O24" s="148" t="s">
        <v>648</v>
      </c>
      <c r="P24" s="148" t="s">
        <v>655</v>
      </c>
      <c r="Q24" s="163" t="s">
        <v>665</v>
      </c>
      <c r="R24" s="163" t="s">
        <v>666</v>
      </c>
      <c r="S24" s="160"/>
      <c r="T24" s="160"/>
      <c r="V24" s="160"/>
      <c r="W24" s="160"/>
      <c r="X24" s="160"/>
    </row>
    <row r="25" spans="1:26" ht="20.100000000000001" customHeight="1" x14ac:dyDescent="0.25">
      <c r="A25" s="5" t="str">
        <f>HYPERLINK("#'Input - Manure sent off-site'!A1", "Manure sent off-site")</f>
        <v>Manure sent off-site</v>
      </c>
      <c r="D25" s="33" t="s">
        <v>667</v>
      </c>
      <c r="E25" s="148">
        <v>100</v>
      </c>
      <c r="F25" s="151" t="str">
        <f t="shared" ref="F25:F34" si="10">X_Cell_Fertiliser_AreaUnderCropping</f>
        <v>Pasture</v>
      </c>
      <c r="G25" s="153" t="e">
        <f>Table_Input_InorganicFertiliser_Custom[[#This Row],[Amount applied (kg / ha)]]*Table_Input_InorganicFertiliser_Custom[[#This Row],[Application area (ha)]]</f>
        <v>#VALUE!</v>
      </c>
      <c r="H25" s="164" t="s">
        <v>668</v>
      </c>
      <c r="I25" s="165">
        <v>0.5</v>
      </c>
      <c r="J25" s="164" t="s">
        <v>669</v>
      </c>
      <c r="K25" s="165">
        <v>0.2</v>
      </c>
      <c r="L25" s="164" t="s">
        <v>670</v>
      </c>
      <c r="M25" s="165">
        <v>0.2</v>
      </c>
      <c r="N25" s="166" t="s">
        <v>671</v>
      </c>
      <c r="O25" s="18">
        <v>0.1</v>
      </c>
      <c r="P25"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6"/>
      <c r="V25" s="160"/>
    </row>
    <row r="26" spans="1:26" ht="20.100000000000001" customHeight="1" x14ac:dyDescent="0.25">
      <c r="A26" s="5" t="str">
        <f>HYPERLINK("#'Input - Data quality'!A1", "Data quality")</f>
        <v>Data quality</v>
      </c>
      <c r="D26" s="33" t="s">
        <v>672</v>
      </c>
      <c r="E26" s="148">
        <v>100</v>
      </c>
      <c r="F26" s="151" t="str">
        <f t="shared" si="10"/>
        <v>Pasture</v>
      </c>
      <c r="G26" s="153" t="e">
        <f>Table_Input_InorganicFertiliser_Custom[[#This Row],[Amount applied (kg / ha)]]*Table_Input_InorganicFertiliser_Custom[[#This Row],[Application area (ha)]]</f>
        <v>#VALUE!</v>
      </c>
      <c r="H26" s="164" t="s">
        <v>658</v>
      </c>
      <c r="I26" s="167">
        <v>1</v>
      </c>
      <c r="J26" s="164"/>
      <c r="K26" s="167"/>
      <c r="L26" s="164"/>
      <c r="M26" s="167"/>
      <c r="N26" s="166"/>
      <c r="O26" s="18"/>
      <c r="P26"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60"/>
      <c r="W26" s="76"/>
    </row>
    <row r="27" spans="1:26" ht="20.100000000000001" customHeight="1" x14ac:dyDescent="0.25">
      <c r="D27" s="33" t="s">
        <v>673</v>
      </c>
      <c r="E27" s="148">
        <v>100</v>
      </c>
      <c r="F27" s="151" t="str">
        <f t="shared" si="10"/>
        <v>Pasture</v>
      </c>
      <c r="G27" s="153" t="e">
        <f>Table_Input_InorganicFertiliser_Custom[[#This Row],[Amount applied (kg / ha)]]*Table_Input_InorganicFertiliser_Custom[[#This Row],[Application area (ha)]]</f>
        <v>#VALUE!</v>
      </c>
      <c r="H27" s="164" t="s">
        <v>674</v>
      </c>
      <c r="I27" s="167">
        <v>0.5</v>
      </c>
      <c r="J27" s="164"/>
      <c r="K27" s="167"/>
      <c r="L27" s="164"/>
      <c r="M27" s="167"/>
      <c r="N27" s="166"/>
      <c r="O27" s="18"/>
      <c r="P27"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60"/>
    </row>
    <row r="28" spans="1:26" ht="20.100000000000001" customHeight="1" x14ac:dyDescent="0.25">
      <c r="D28" s="33"/>
      <c r="E28" s="148"/>
      <c r="F28" s="168" t="str">
        <f t="shared" si="10"/>
        <v>Pasture</v>
      </c>
      <c r="G28" s="153" t="e">
        <f>Table_Input_InorganicFertiliser_Custom[[#This Row],[Amount applied (kg / ha)]]*Table_Input_InorganicFertiliser_Custom[[#This Row],[Application area (ha)]]</f>
        <v>#VALUE!</v>
      </c>
      <c r="H28" s="164"/>
      <c r="I28" s="167"/>
      <c r="J28" s="164"/>
      <c r="K28" s="167"/>
      <c r="L28" s="164"/>
      <c r="M28" s="167"/>
      <c r="N28" s="166"/>
      <c r="O28" s="18"/>
      <c r="P28"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6"/>
    </row>
    <row r="29" spans="1:26" ht="20.100000000000001" customHeight="1" x14ac:dyDescent="0.25">
      <c r="A29" s="6" t="s">
        <v>2</v>
      </c>
      <c r="D29" s="33"/>
      <c r="E29" s="148"/>
      <c r="F29" s="168" t="str">
        <f t="shared" si="10"/>
        <v>Pasture</v>
      </c>
      <c r="G29" s="153" t="e">
        <f>Table_Input_InorganicFertiliser_Custom[[#This Row],[Amount applied (kg / ha)]]*Table_Input_InorganicFertiliser_Custom[[#This Row],[Application area (ha)]]</f>
        <v>#VALUE!</v>
      </c>
      <c r="H29" s="164"/>
      <c r="I29" s="167"/>
      <c r="J29" s="164"/>
      <c r="K29" s="167"/>
      <c r="L29" s="164"/>
      <c r="M29" s="167"/>
      <c r="N29" s="166"/>
      <c r="O29" s="18"/>
      <c r="P29"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5">
      <c r="A30" s="5" t="str">
        <f>HYPERLINK("#'3.3.1.1-2 Enteric Methane'!A1", "3.3.1.1-2 Enteric methane")</f>
        <v>3.3.1.1-2 Enteric methane</v>
      </c>
      <c r="D30" s="33"/>
      <c r="E30" s="148"/>
      <c r="F30" s="168" t="str">
        <f t="shared" si="10"/>
        <v>Pasture</v>
      </c>
      <c r="G30" s="153" t="e">
        <f>Table_Input_InorganicFertiliser_Custom[[#This Row],[Amount applied (kg / ha)]]*Table_Input_InorganicFertiliser_Custom[[#This Row],[Application area (ha)]]</f>
        <v>#VALUE!</v>
      </c>
      <c r="H30" s="164"/>
      <c r="I30" s="167"/>
      <c r="J30" s="164"/>
      <c r="K30" s="167"/>
      <c r="L30" s="164"/>
      <c r="M30" s="167"/>
      <c r="N30" s="166"/>
      <c r="O30" s="18"/>
      <c r="P30"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5">
      <c r="A31" s="5" t="str">
        <f>HYPERLINK("#'4.3.1.1-2 Methane'!A1", "4.3.1.1-2 Manure methane")</f>
        <v>4.3.1.1-2 Manure methane</v>
      </c>
      <c r="D31" s="33"/>
      <c r="E31" s="148"/>
      <c r="F31" s="168" t="str">
        <f t="shared" si="10"/>
        <v>Pasture</v>
      </c>
      <c r="G31" s="153" t="e">
        <f>Table_Input_InorganicFertiliser_Custom[[#This Row],[Amount applied (kg / ha)]]*Table_Input_InorganicFertiliser_Custom[[#This Row],[Application area (ha)]]</f>
        <v>#VALUE!</v>
      </c>
      <c r="H31" s="164"/>
      <c r="I31" s="167"/>
      <c r="J31" s="164"/>
      <c r="K31" s="167"/>
      <c r="L31" s="164"/>
      <c r="M31" s="167"/>
      <c r="N31" s="166"/>
      <c r="O31" s="18"/>
      <c r="P31"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5">
      <c r="A32" s="5" t="str">
        <f>HYPERLINK("#'4.3.1.3-4 Direct N20'!A1", "4.3.1.3-4 Direct N20")</f>
        <v>4.3.1.3-4 Direct N20</v>
      </c>
      <c r="D32" s="33"/>
      <c r="E32" s="148"/>
      <c r="F32" s="168" t="str">
        <f t="shared" si="10"/>
        <v>Pasture</v>
      </c>
      <c r="G32" s="153" t="e">
        <f>Table_Input_InorganicFertiliser_Custom[[#This Row],[Amount applied (kg / ha)]]*Table_Input_InorganicFertiliser_Custom[[#This Row],[Application area (ha)]]</f>
        <v>#VALUE!</v>
      </c>
      <c r="H32" s="164"/>
      <c r="I32" s="167"/>
      <c r="J32" s="164"/>
      <c r="K32" s="167"/>
      <c r="L32" s="164"/>
      <c r="M32" s="167"/>
      <c r="N32" s="166"/>
      <c r="O32" s="18"/>
      <c r="P32"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5">
      <c r="A33" s="5" t="str">
        <f>HYPERLINK("#'4.3.1.5 Atmos deposition'!A1", "4.3.1.5 Atmos deposition")</f>
        <v>4.3.1.5 Atmos deposition</v>
      </c>
      <c r="D33" s="33"/>
      <c r="E33" s="148"/>
      <c r="F33" s="168" t="str">
        <f t="shared" si="10"/>
        <v>Pasture</v>
      </c>
      <c r="G33" s="153" t="e">
        <f>Table_Input_InorganicFertiliser_Custom[[#This Row],[Amount applied (kg / ha)]]*Table_Input_InorganicFertiliser_Custom[[#This Row],[Application area (ha)]]</f>
        <v>#VALUE!</v>
      </c>
      <c r="H33" s="164"/>
      <c r="I33" s="167"/>
      <c r="J33" s="164"/>
      <c r="K33" s="167"/>
      <c r="L33" s="164"/>
      <c r="M33" s="167"/>
      <c r="N33" s="166"/>
      <c r="O33" s="18"/>
      <c r="P33"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5">
      <c r="A34" s="5" t="str">
        <f>HYPERLINK("#'4.3.1.6-7 Leaching and runoff'!A1", "4.3.1.6-7 Leaching &amp; runoff")</f>
        <v>4.3.1.6-7 Leaching &amp; runoff</v>
      </c>
      <c r="D34" s="33"/>
      <c r="E34" s="148"/>
      <c r="F34" s="168" t="str">
        <f t="shared" si="10"/>
        <v>Pasture</v>
      </c>
      <c r="G34" s="153" t="e">
        <f>Table_Input_InorganicFertiliser_Custom[[#This Row],[Amount applied (kg / ha)]]*Table_Input_InorganicFertiliser_Custom[[#This Row],[Application area (ha)]]</f>
        <v>#VALUE!</v>
      </c>
      <c r="H34" s="164"/>
      <c r="I34" s="167"/>
      <c r="J34" s="164"/>
      <c r="K34" s="167"/>
      <c r="L34" s="164"/>
      <c r="M34" s="167"/>
      <c r="N34" s="166"/>
      <c r="O34" s="18"/>
      <c r="P34" s="153">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5">
      <c r="A35" s="5" t="str">
        <f>HYPERLINK("#'4.3.1.8 Manure applied to soils'!A1", "4.3.1.8 Manure applied to soils")</f>
        <v>4.3.1.8 Manure applied to soils</v>
      </c>
    </row>
    <row r="36" spans="1:27" ht="20.100000000000001" customHeight="1" x14ac:dyDescent="0.25">
      <c r="A36" s="5" t="str">
        <f>HYPERLINK("#'4.3.1.9 Soil direct N2O'!A1", "4.3.1.9 Soil direct N2O")</f>
        <v>4.3.1.9 Soil direct N2O</v>
      </c>
      <c r="D36" s="2" t="s">
        <v>675</v>
      </c>
      <c r="E36" s="24"/>
      <c r="F36" s="24"/>
      <c r="G36" s="24"/>
      <c r="H36" s="24"/>
      <c r="I36" s="24"/>
      <c r="J36" s="24"/>
      <c r="K36" s="8"/>
      <c r="L36" s="8"/>
      <c r="M36" s="8"/>
    </row>
    <row r="37" spans="1:27" ht="20.100000000000001" customHeight="1" x14ac:dyDescent="0.25">
      <c r="A37" s="5" t="str">
        <f>HYPERLINK("#'4.3.1.10-11 Soil Atmos Dep'!A1", "4.3.1.10-11 Soil Atmos Deposition")</f>
        <v>4.3.1.10-11 Soil Atmos Deposition</v>
      </c>
      <c r="D37" s="139" t="s">
        <v>676</v>
      </c>
      <c r="E37" s="43"/>
      <c r="F37" s="44"/>
      <c r="G37" s="139"/>
      <c r="H37" s="44"/>
      <c r="I37" s="24"/>
      <c r="J37" s="24"/>
      <c r="K37" s="8"/>
      <c r="L37" s="8"/>
      <c r="M37" s="24"/>
    </row>
    <row r="38" spans="1:27" ht="20.100000000000001" customHeight="1" x14ac:dyDescent="0.25">
      <c r="A38" s="5" t="str">
        <f>HYPERLINK("#'4.3.1.12-13 Soil leach runoff'!A1", "4.3.1.12-13 Soil leach &amp; runoff")</f>
        <v>4.3.1.12-13 Soil leach &amp; runoff</v>
      </c>
      <c r="C38" s="160"/>
      <c r="D38" s="169" t="s">
        <v>677</v>
      </c>
      <c r="E38" s="170"/>
      <c r="F38" s="171"/>
      <c r="G38" s="169"/>
      <c r="H38" s="171"/>
      <c r="I38" s="8"/>
      <c r="J38" s="8"/>
      <c r="K38" s="8"/>
      <c r="L38" s="8"/>
      <c r="M38" s="8"/>
    </row>
    <row r="39" spans="1:27" ht="20.100000000000001" customHeight="1" x14ac:dyDescent="0.25">
      <c r="A39" s="5" t="str">
        <f>HYPERLINK("#'5.1.1.1-2 Inorganic fert N2O'!A1", "5.1.1.1-2 Inorganic fert N2O")</f>
        <v>5.1.1.1-2 Inorganic fert N2O</v>
      </c>
      <c r="C39" s="160"/>
      <c r="D39" s="45" t="s">
        <v>633</v>
      </c>
      <c r="E39" s="46"/>
      <c r="F39" s="46"/>
      <c r="G39" s="46"/>
      <c r="H39" s="47"/>
      <c r="I39" s="8"/>
      <c r="J39" s="8"/>
      <c r="K39" s="8"/>
      <c r="L39" s="8"/>
      <c r="M39" s="24"/>
    </row>
    <row r="40" spans="1:27" s="172" customFormat="1" ht="20.100000000000001" customHeight="1" x14ac:dyDescent="0.25">
      <c r="A40" s="5" t="str">
        <f>HYPERLINK("#'5.1.1.3-4 Inorganic fert CO2'!A1", "5.1.1.3-4 Inorganic fert CO2")</f>
        <v>5.1.1.3-4 Inorganic fert CO2</v>
      </c>
      <c r="C40" s="1"/>
      <c r="D40" s="79"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72" customFormat="1" ht="20.100000000000001" customHeight="1" x14ac:dyDescent="0.25">
      <c r="A41" s="5" t="str">
        <f>HYPERLINK("#'5.2.1.1-2 Organic Fert N2O'!A1", "5.2.1.1-2 Organic fert N2O")</f>
        <v>5.2.1.1-2 Organic fert N2O</v>
      </c>
      <c r="C41" s="1"/>
      <c r="D41" s="173" t="s">
        <v>131</v>
      </c>
      <c r="E41" s="173" t="s">
        <v>678</v>
      </c>
      <c r="F41" s="173" t="s">
        <v>638</v>
      </c>
      <c r="G41" s="173" t="s">
        <v>679</v>
      </c>
      <c r="H41" s="173" t="s">
        <v>680</v>
      </c>
      <c r="I41" s="173" t="s">
        <v>681</v>
      </c>
      <c r="J41" s="173" t="s">
        <v>682</v>
      </c>
      <c r="K41" s="173" t="s">
        <v>683</v>
      </c>
      <c r="L41" s="1"/>
      <c r="M41" s="1"/>
      <c r="N41" s="1"/>
      <c r="O41" s="1"/>
      <c r="P41" s="1"/>
      <c r="Q41" s="1"/>
      <c r="R41" s="1"/>
      <c r="S41" s="160"/>
      <c r="T41" s="1"/>
      <c r="U41" s="1"/>
      <c r="V41" s="1"/>
      <c r="W41" s="1"/>
      <c r="X41" s="1"/>
      <c r="Y41" s="1"/>
      <c r="Z41" s="1"/>
      <c r="AA41" s="1"/>
    </row>
    <row r="42" spans="1:27" ht="20.100000000000001" customHeight="1" x14ac:dyDescent="0.25">
      <c r="A42" s="5" t="str">
        <f>HYPERLINK("#'5.3.1.1-2 Lime CO2'!A1", "5.3.1.1-2 Lime CO2")</f>
        <v>5.3.1.1-2 Lime CO2</v>
      </c>
      <c r="D42" s="174" t="s">
        <v>684</v>
      </c>
      <c r="E42" s="151">
        <v>1</v>
      </c>
      <c r="F42" s="151" t="str">
        <f>X_Cell_Fertiliser_AreaUnderCropping</f>
        <v>Pasture</v>
      </c>
      <c r="G42" s="153">
        <f>IFERROR(Table_Input_Lime[[#This Row],[Amount applied (t/hectare)]]*Table_Input_Lime[[#This Row],[Application area (ha)]], 0)</f>
        <v>0</v>
      </c>
      <c r="H42" s="175">
        <v>0.8</v>
      </c>
      <c r="I42" s="175">
        <v>0.1</v>
      </c>
      <c r="J42" s="175">
        <v>0.1</v>
      </c>
      <c r="K42" s="176">
        <f>SUM(Table_Input_Lime[[#This Row],[Percent Lime CaCO3]:[Percent Gypsum]])</f>
        <v>1</v>
      </c>
      <c r="S42" s="160"/>
    </row>
    <row r="43" spans="1:27" ht="20.100000000000001" customHeight="1" x14ac:dyDescent="0.25">
      <c r="A43" s="5" t="str">
        <f>HYPERLINK("#'5.4.1.1-4 Atmos deposition'!A1", "5.4.1.1-4 Atmos. deposition")</f>
        <v>5.4.1.1-4 Atmos. deposition</v>
      </c>
      <c r="D43" s="174" t="s">
        <v>685</v>
      </c>
      <c r="E43" s="151">
        <v>1</v>
      </c>
      <c r="F43" s="151" t="str">
        <f>X_Cell_Fertiliser_AreaUnderCropping</f>
        <v>Pasture</v>
      </c>
      <c r="G43" s="153">
        <f>IFERROR(Table_Input_Lime[[#This Row],[Amount applied (t/hectare)]]*Table_Input_Lime[[#This Row],[Application area (ha)]], 0)</f>
        <v>0</v>
      </c>
      <c r="H43" s="175">
        <v>1</v>
      </c>
      <c r="I43" s="175"/>
      <c r="J43" s="175"/>
      <c r="K43" s="176">
        <f>SUM(Table_Input_Lime[[#This Row],[Percent Lime CaCO3]:[Percent Gypsum]])</f>
        <v>1</v>
      </c>
    </row>
    <row r="44" spans="1:27" ht="20.100000000000001" customHeight="1" x14ac:dyDescent="0.25">
      <c r="A44" s="5" t="str">
        <f>HYPERLINK("#'5.5.1.1-2 Leaching and runoff'!A1", "5.5.1.1-2 Leaching &amp; runoff")</f>
        <v>5.5.1.1-2 Leaching &amp; runoff</v>
      </c>
      <c r="D44" s="174" t="s">
        <v>686</v>
      </c>
      <c r="E44" s="151">
        <v>1</v>
      </c>
      <c r="F44" s="151" t="str">
        <f>X_Cell_Fertiliser_AreaUnderCropping</f>
        <v>Pasture</v>
      </c>
      <c r="G44" s="153">
        <f>IFERROR(Table_Input_Lime[[#This Row],[Amount applied (t/hectare)]]*Table_Input_Lime[[#This Row],[Application area (ha)]], 0)</f>
        <v>0</v>
      </c>
      <c r="H44" s="175">
        <v>0</v>
      </c>
      <c r="I44" s="175"/>
      <c r="J44" s="175">
        <v>1</v>
      </c>
      <c r="K44" s="176">
        <f>SUM(Table_Input_Lime[[#This Row],[Percent Lime CaCO3]:[Percent Gypsum]])</f>
        <v>1</v>
      </c>
      <c r="L44" s="24"/>
    </row>
    <row r="45" spans="1:27" ht="20.100000000000001" customHeight="1" x14ac:dyDescent="0.25">
      <c r="A45" s="5" t="str">
        <f>HYPERLINK("#'6.2.1.1-2 Pasture residue N2O'!A1", "6.2.1.1-2 Pasture residue N2O")</f>
        <v>6.2.1.1-2 Pasture residue N2O</v>
      </c>
      <c r="L45" s="24"/>
      <c r="M45" s="24"/>
    </row>
    <row r="46" spans="1:27" ht="20.100000000000001" customHeight="1" x14ac:dyDescent="0.25">
      <c r="A46" s="5" t="str">
        <f>HYPERLINK("#'6.3.1.1-2 Leach runoff pasture'!A1", "6.3.1.1-2 Leach &amp; runoff (pasture)")</f>
        <v>6.3.1.1-2 Leach &amp; runoff (pasture)</v>
      </c>
      <c r="D46" s="8"/>
      <c r="E46" s="8"/>
      <c r="F46" s="8"/>
      <c r="G46" s="8"/>
      <c r="H46" s="8"/>
      <c r="I46" s="8"/>
      <c r="J46" s="8"/>
      <c r="L46" s="8"/>
      <c r="M46" s="24"/>
    </row>
    <row r="47" spans="1:27" ht="20.100000000000001" customHeight="1" x14ac:dyDescent="0.25">
      <c r="A47" s="5" t="str">
        <f>HYPERLINK("#'8.1.1.1-2 Transport fuel'!A1", "8.1.1.1-2 Transport fuel")</f>
        <v>8.1.1.1-2 Transport fuel</v>
      </c>
      <c r="D47" s="8"/>
      <c r="E47" s="8"/>
      <c r="F47" s="8"/>
      <c r="G47" s="8"/>
      <c r="H47" s="8"/>
      <c r="I47" s="8"/>
      <c r="J47" s="177"/>
      <c r="K47" s="24"/>
      <c r="L47" s="8"/>
      <c r="M47" s="8"/>
    </row>
    <row r="48" spans="1:27" ht="20.100000000000001" customHeight="1" x14ac:dyDescent="0.25">
      <c r="A48" s="5" t="str">
        <f>HYPERLINK("#'8.2.1.1-2 Stationary fuel'!A1", "8.2.1.1-2 Stationary fuel")</f>
        <v>8.2.1.1-2 Stationary fuel</v>
      </c>
      <c r="D48" s="2" t="s">
        <v>687</v>
      </c>
      <c r="E48" s="24"/>
      <c r="F48" s="24"/>
      <c r="G48" s="24"/>
      <c r="H48" s="8"/>
      <c r="I48" s="8"/>
      <c r="J48" s="8"/>
      <c r="K48" s="8"/>
      <c r="L48" s="8"/>
      <c r="M48" s="8"/>
    </row>
    <row r="49" spans="1:18" ht="20.100000000000001" customHeight="1" x14ac:dyDescent="0.25">
      <c r="A49" s="5" t="str">
        <f>HYPERLINK("#'10.1.1-2 Solid waste treatment'!A1", "10.1.1.1-2 Solid waste")</f>
        <v>10.1.1.1-2 Solid waste</v>
      </c>
      <c r="D49" s="8"/>
      <c r="E49" s="8"/>
      <c r="F49" s="8"/>
      <c r="G49" s="8"/>
      <c r="H49" s="8"/>
      <c r="I49" s="8"/>
      <c r="J49" s="8"/>
      <c r="K49" s="8"/>
      <c r="L49" s="8"/>
      <c r="M49" s="8"/>
      <c r="Q49" s="160"/>
      <c r="R49" s="160"/>
    </row>
    <row r="50" spans="1:18" ht="20.100000000000001" customHeight="1" x14ac:dyDescent="0.25">
      <c r="A50" s="5" t="str">
        <f>HYPERLINK("#'14.1.1-2 Purchased electricity'!A1", "14.1.1-2 Purchased electricity")</f>
        <v>14.1.1-2 Purchased electricity</v>
      </c>
      <c r="D50" s="139" t="s">
        <v>676</v>
      </c>
      <c r="E50" s="43"/>
      <c r="F50" s="43"/>
      <c r="G50" s="43"/>
      <c r="H50" s="44"/>
      <c r="I50" s="8"/>
      <c r="J50" s="8"/>
      <c r="K50" s="8"/>
      <c r="L50" s="8"/>
      <c r="M50" s="8"/>
      <c r="O50" s="160"/>
      <c r="P50" s="160"/>
      <c r="Q50" s="160"/>
      <c r="R50" s="160"/>
    </row>
    <row r="51" spans="1:18" ht="20.100000000000001" customHeight="1" x14ac:dyDescent="0.25">
      <c r="A51" s="5" t="str">
        <f>HYPERLINK("#'15 Scope 3'!A1", "15 Scope 3")</f>
        <v>15 Scope 3</v>
      </c>
      <c r="D51" s="45" t="s">
        <v>633</v>
      </c>
      <c r="E51" s="46"/>
      <c r="F51" s="46"/>
      <c r="G51" s="46"/>
      <c r="H51" s="47"/>
      <c r="I51" s="8"/>
      <c r="J51" s="8"/>
      <c r="K51" s="8"/>
      <c r="L51" s="162"/>
      <c r="M51" s="160"/>
      <c r="N51" s="160"/>
      <c r="O51" s="160"/>
      <c r="P51" s="160"/>
    </row>
    <row r="52" spans="1:18" ht="20.100000000000001" customHeight="1" x14ac:dyDescent="0.25">
      <c r="A52" s="5" t="str">
        <f>HYPERLINK("#'Calcs - Manure sent off-site'!A1", "Calcs - Manure sent off-site")</f>
        <v>Calcs - Manure sent off-site</v>
      </c>
      <c r="D52" s="8"/>
      <c r="E52" s="8"/>
      <c r="F52" s="8"/>
      <c r="G52" s="8"/>
      <c r="H52" s="8"/>
      <c r="I52" s="8"/>
      <c r="J52" s="8"/>
      <c r="K52" s="8"/>
      <c r="L52" s="162"/>
      <c r="M52" s="160"/>
      <c r="N52" s="160"/>
    </row>
    <row r="53" spans="1:18" ht="20.100000000000001" customHeight="1" x14ac:dyDescent="0.25">
      <c r="D53" s="173" t="s">
        <v>688</v>
      </c>
      <c r="E53" s="173" t="s">
        <v>689</v>
      </c>
      <c r="F53" s="173" t="s">
        <v>690</v>
      </c>
      <c r="G53" s="173" t="s">
        <v>691</v>
      </c>
      <c r="H53" s="173" t="s">
        <v>638</v>
      </c>
      <c r="I53" s="173" t="s">
        <v>692</v>
      </c>
      <c r="J53" s="173" t="s">
        <v>693</v>
      </c>
      <c r="K53" s="162"/>
    </row>
    <row r="54" spans="1:18" ht="20.100000000000001" customHeight="1" x14ac:dyDescent="0.25">
      <c r="D54" s="150" t="s">
        <v>694</v>
      </c>
      <c r="E54" s="175">
        <v>0.3</v>
      </c>
      <c r="F54" s="151">
        <v>10</v>
      </c>
      <c r="G54" s="153">
        <f>Table_Input_OrganicFertiliser[[#This Row],[Amount applied (kg/hectare)]]*Table_Input_OrganicFertiliser[[#This Row],[Percentage of N in fertiliser]]</f>
        <v>3</v>
      </c>
      <c r="H54" s="151" t="str">
        <f>X_Cell_Fertiliser_AreaUnderCropping</f>
        <v>Pasture</v>
      </c>
      <c r="I54" s="153" t="e">
        <f>Table_Input_OrganicFertiliser[[#This Row],[Amount applied (kg/hectare)]]*Table_Input_OrganicFertiliser[[#This Row],[Application area (ha)]]</f>
        <v>#VALUE!</v>
      </c>
      <c r="J54" s="153">
        <f>IFERROR(Table_Input_OrganicFertiliser[[#This Row],[Amount N applied (kg/hectare)]]*Table_Input_OrganicFertiliser[[#This Row],[Application area (ha)]], 0)</f>
        <v>0</v>
      </c>
      <c r="K54" s="162"/>
    </row>
    <row r="55" spans="1:18" ht="20.100000000000001" customHeight="1" x14ac:dyDescent="0.25">
      <c r="A55" s="83" t="s">
        <v>1</v>
      </c>
      <c r="D55" s="150" t="s">
        <v>695</v>
      </c>
      <c r="E55" s="175">
        <v>0.25</v>
      </c>
      <c r="F55" s="151">
        <v>10</v>
      </c>
      <c r="G55" s="153">
        <f>Table_Input_OrganicFertiliser[[#This Row],[Amount applied (kg/hectare)]]*Table_Input_OrganicFertiliser[[#This Row],[Percentage of N in fertiliser]]</f>
        <v>2.5</v>
      </c>
      <c r="H55" s="151" t="str">
        <f>X_Cell_Fertiliser_AreaUnderCropping</f>
        <v>Pasture</v>
      </c>
      <c r="I55" s="153" t="e">
        <f>Table_Input_OrganicFertiliser[[#This Row],[Amount applied (kg/hectare)]]*Table_Input_OrganicFertiliser[[#This Row],[Application area (ha)]]</f>
        <v>#VALUE!</v>
      </c>
      <c r="J55" s="153">
        <f>IFERROR(Table_Input_OrganicFertiliser[[#This Row],[Amount N applied (kg/hectare)]]*Table_Input_OrganicFertiliser[[#This Row],[Application area (ha)]], 0)</f>
        <v>0</v>
      </c>
    </row>
    <row r="56" spans="1:18" ht="20.100000000000001" customHeight="1" x14ac:dyDescent="0.25">
      <c r="A56" s="5" t="str">
        <f>HYPERLINK("#'Constants - Dairy'!A1", "Constants - Dairy")</f>
        <v>Constants - Dairy</v>
      </c>
      <c r="D56" s="150" t="s">
        <v>696</v>
      </c>
      <c r="E56" s="175">
        <v>0.16</v>
      </c>
      <c r="F56" s="151">
        <v>10</v>
      </c>
      <c r="G56" s="153">
        <f>Table_Input_OrganicFertiliser[[#This Row],[Amount applied (kg/hectare)]]*Table_Input_OrganicFertiliser[[#This Row],[Percentage of N in fertiliser]]</f>
        <v>1.6</v>
      </c>
      <c r="H56" s="151" t="str">
        <f>X_Cell_Fertiliser_AreaUnderCropping</f>
        <v>Pasture</v>
      </c>
      <c r="I56" s="153" t="e">
        <f>Table_Input_OrganicFertiliser[[#This Row],[Amount applied (kg/hectare)]]*Table_Input_OrganicFertiliser[[#This Row],[Application area (ha)]]</f>
        <v>#VALUE!</v>
      </c>
      <c r="J56" s="153">
        <f>IFERROR(Table_Input_OrganicFertiliser[[#This Row],[Amount N applied (kg/hectare)]]*Table_Input_OrganicFertiliser[[#This Row],[Application area (ha)]], 0)</f>
        <v>0</v>
      </c>
    </row>
    <row r="57" spans="1:18" ht="20.100000000000001" customHeight="1" x14ac:dyDescent="0.25">
      <c r="A57" s="5" t="str">
        <f>HYPERLINK("#'Constants - Ag Residue'!A1", "Constants - Ag residue")</f>
        <v>Constants - Ag residue</v>
      </c>
    </row>
    <row r="58" spans="1:18" ht="20.100000000000001" customHeight="1" x14ac:dyDescent="0.25">
      <c r="A58" s="5" t="str">
        <f>HYPERLINK("#'Constants - Common Livestock'!A1", "Constants - Common Livestock")</f>
        <v>Constants - Common Livestock</v>
      </c>
    </row>
    <row r="59" spans="1:18" ht="20.100000000000001" customHeight="1" x14ac:dyDescent="0.25">
      <c r="A59" s="5" t="str">
        <f>HYPERLINK("#'Constants - Electricity'!A1", "Constants - Electricity")</f>
        <v>Constants - Electricity</v>
      </c>
    </row>
    <row r="60" spans="1:18" ht="20.100000000000001" customHeight="1" x14ac:dyDescent="0.25">
      <c r="A60" s="5" t="str">
        <f>HYPERLINK("#'Constants - Fertiliser'!A1", "Constants - Fertiliser")</f>
        <v>Constants - Fertiliser</v>
      </c>
    </row>
    <row r="61" spans="1:18" ht="20.100000000000001" customHeight="1" x14ac:dyDescent="0.25">
      <c r="A61" s="5" t="str">
        <f>HYPERLINK("#'Constants - Fuel'!A1", "Constants - Fuel")</f>
        <v>Constants - Fuel</v>
      </c>
    </row>
    <row r="62" spans="1:18" ht="20.100000000000001" customHeight="1" x14ac:dyDescent="0.25">
      <c r="A62" s="5" t="str">
        <f>HYPERLINK("#'Constants - Scope 3'!A1", "Constants - Scope 3")</f>
        <v>Constants - Scope 3</v>
      </c>
    </row>
    <row r="63" spans="1:18" ht="20.100000000000001" customHeight="1" x14ac:dyDescent="0.25">
      <c r="A63" s="5" t="str">
        <f>HYPERLINK("#'Constants - Common'!A1", "Constants - Common")</f>
        <v>Constants - Common</v>
      </c>
    </row>
    <row r="64" spans="1:18"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row r="115" spans="13:13" ht="20.100000000000001" customHeight="1" x14ac:dyDescent="0.25"/>
    <row r="116" spans="13:13" ht="20.100000000000001" customHeight="1" x14ac:dyDescent="0.25"/>
    <row r="117" spans="13:13" ht="20.100000000000001" customHeight="1" x14ac:dyDescent="0.25"/>
    <row r="118" spans="13:13" ht="20.100000000000001" customHeight="1" x14ac:dyDescent="0.25"/>
    <row r="119" spans="13:13" ht="20.100000000000001" customHeight="1" x14ac:dyDescent="0.25"/>
    <row r="120" spans="13:13" ht="20.100000000000001" customHeight="1" x14ac:dyDescent="0.25"/>
    <row r="121" spans="13:13" ht="20.100000000000001" customHeight="1" x14ac:dyDescent="0.25"/>
    <row r="122" spans="13:13" ht="20.100000000000001" customHeight="1" x14ac:dyDescent="0.25"/>
    <row r="123" spans="13:13" ht="20.100000000000001" customHeight="1" x14ac:dyDescent="0.25"/>
    <row r="124" spans="13:13" ht="20.100000000000001" customHeight="1" x14ac:dyDescent="0.25"/>
    <row r="125" spans="13:13" ht="20.100000000000001" customHeight="1" x14ac:dyDescent="0.25"/>
    <row r="126" spans="13:13" ht="20.100000000000001" customHeight="1" x14ac:dyDescent="0.25">
      <c r="M126" s="24"/>
    </row>
    <row r="127" spans="13:13" ht="20.100000000000001" customHeight="1" x14ac:dyDescent="0.25">
      <c r="M127" s="24"/>
    </row>
    <row r="128" spans="13:13"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row r="149" spans="13:13" ht="20.100000000000001" customHeight="1" x14ac:dyDescent="0.25"/>
    <row r="150" spans="13:13" ht="20.100000000000001" customHeight="1" x14ac:dyDescent="0.25"/>
    <row r="151" spans="13:13" ht="20.100000000000001" customHeight="1" x14ac:dyDescent="0.25"/>
    <row r="152" spans="13:13" ht="20.100000000000001" customHeight="1" x14ac:dyDescent="0.25"/>
    <row r="153" spans="13:13" ht="20.100000000000001" customHeight="1" x14ac:dyDescent="0.25"/>
    <row r="154" spans="13:13" ht="20.100000000000001" customHeight="1" x14ac:dyDescent="0.25"/>
    <row r="155" spans="13:13" ht="20.100000000000001" customHeight="1" x14ac:dyDescent="0.25"/>
    <row r="156" spans="13:13" ht="20.100000000000001" customHeight="1" x14ac:dyDescent="0.25"/>
    <row r="157" spans="13:13" ht="20.100000000000001" customHeight="1" x14ac:dyDescent="0.25"/>
    <row r="158" spans="13:13" ht="20.100000000000001" customHeight="1" x14ac:dyDescent="0.25"/>
    <row r="159" spans="13:13" ht="20.100000000000001" customHeight="1" x14ac:dyDescent="0.25"/>
    <row r="160" spans="13:13"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24" spans="12:12" x14ac:dyDescent="0.25">
      <c r="L224" s="16"/>
    </row>
    <row r="225" spans="12:12" x14ac:dyDescent="0.25">
      <c r="L225" s="16"/>
    </row>
    <row r="226" spans="12:12" x14ac:dyDescent="0.25">
      <c r="L226" s="16"/>
    </row>
    <row r="227" spans="12:12" x14ac:dyDescent="0.25">
      <c r="L227" s="16"/>
    </row>
    <row r="228" spans="12:12" x14ac:dyDescent="0.25">
      <c r="L228" s="16"/>
    </row>
    <row r="230" spans="12:12" x14ac:dyDescent="0.25">
      <c r="L230" s="16"/>
    </row>
    <row r="232" spans="12:12" x14ac:dyDescent="0.25">
      <c r="L232" s="16"/>
    </row>
    <row r="233" spans="12:12" x14ac:dyDescent="0.25">
      <c r="L233" s="16"/>
    </row>
    <row r="234" spans="12:12" x14ac:dyDescent="0.25">
      <c r="L234" s="16"/>
    </row>
    <row r="235" spans="12:12" x14ac:dyDescent="0.25">
      <c r="L235" s="16"/>
    </row>
    <row r="237" spans="12:12" x14ac:dyDescent="0.25">
      <c r="L237" s="16"/>
    </row>
    <row r="245" spans="12:12" x14ac:dyDescent="0.25">
      <c r="L245" s="16"/>
    </row>
    <row r="246" spans="12:12" x14ac:dyDescent="0.25">
      <c r="L246" s="16"/>
    </row>
    <row r="247" spans="12:12" x14ac:dyDescent="0.25">
      <c r="L247" s="16"/>
    </row>
    <row r="250" spans="12:12" x14ac:dyDescent="0.25">
      <c r="L250" s="16"/>
    </row>
    <row r="251" spans="12:12" x14ac:dyDescent="0.25">
      <c r="L251" s="16"/>
    </row>
    <row r="252" spans="12:12" x14ac:dyDescent="0.25">
      <c r="L252" s="16"/>
    </row>
    <row r="255" spans="12:12" x14ac:dyDescent="0.25">
      <c r="L255" s="16"/>
    </row>
    <row r="256" spans="12:12" x14ac:dyDescent="0.25">
      <c r="L256" s="16"/>
    </row>
    <row r="257" spans="11:12" x14ac:dyDescent="0.25">
      <c r="L257" s="16"/>
    </row>
    <row r="260" spans="11:12" x14ac:dyDescent="0.25">
      <c r="L260" s="16"/>
    </row>
    <row r="261" spans="11:12" x14ac:dyDescent="0.25">
      <c r="L261" s="16"/>
    </row>
    <row r="262" spans="11:12" x14ac:dyDescent="0.25">
      <c r="L262" s="16"/>
    </row>
    <row r="263" spans="11:12" x14ac:dyDescent="0.25">
      <c r="K263" s="16"/>
    </row>
    <row r="268" spans="11:12" x14ac:dyDescent="0.25">
      <c r="K268" s="16"/>
    </row>
    <row r="269" spans="11:12" x14ac:dyDescent="0.25">
      <c r="L269" s="16"/>
    </row>
    <row r="270" spans="11:12" x14ac:dyDescent="0.25">
      <c r="L270" s="16"/>
    </row>
    <row r="271" spans="11:12" x14ac:dyDescent="0.25">
      <c r="L271" s="16"/>
    </row>
    <row r="273" spans="11:12" x14ac:dyDescent="0.25">
      <c r="K273" s="16"/>
    </row>
    <row r="274" spans="11:12" x14ac:dyDescent="0.25">
      <c r="L274" s="16"/>
    </row>
    <row r="275" spans="11:12" x14ac:dyDescent="0.25">
      <c r="L275" s="16"/>
    </row>
    <row r="276" spans="11:12" x14ac:dyDescent="0.25">
      <c r="L276" s="16"/>
    </row>
    <row r="278" spans="11:12" x14ac:dyDescent="0.25">
      <c r="K278" s="16"/>
    </row>
    <row r="279" spans="11:12" x14ac:dyDescent="0.25">
      <c r="K279" s="16"/>
      <c r="L279" s="16"/>
    </row>
    <row r="280" spans="11:12" x14ac:dyDescent="0.25">
      <c r="K280" s="16"/>
      <c r="L280" s="16"/>
    </row>
    <row r="281" spans="11:12" x14ac:dyDescent="0.25">
      <c r="K281" s="16"/>
      <c r="L281" s="16"/>
    </row>
    <row r="282" spans="11:12" x14ac:dyDescent="0.25">
      <c r="K282" s="16"/>
    </row>
    <row r="284" spans="11:12" x14ac:dyDescent="0.25">
      <c r="K284" s="16"/>
      <c r="L284" s="16"/>
    </row>
    <row r="285" spans="11:12" x14ac:dyDescent="0.25">
      <c r="L285" s="16"/>
    </row>
    <row r="286" spans="11:12" x14ac:dyDescent="0.25">
      <c r="K286" s="16"/>
      <c r="L286" s="16"/>
    </row>
    <row r="287" spans="11:12" x14ac:dyDescent="0.25">
      <c r="K287" s="16"/>
    </row>
    <row r="288" spans="11:12" x14ac:dyDescent="0.25">
      <c r="K288" s="16"/>
    </row>
    <row r="289" spans="11:11" x14ac:dyDescent="0.25">
      <c r="K289" s="16"/>
    </row>
    <row r="291" spans="11:11" x14ac:dyDescent="0.25">
      <c r="K291" s="16"/>
    </row>
    <row r="297" spans="11:11" x14ac:dyDescent="0.25">
      <c r="K297" s="16"/>
    </row>
    <row r="302" spans="11:11" x14ac:dyDescent="0.25">
      <c r="K302" s="16"/>
    </row>
    <row r="307" spans="11:11" x14ac:dyDescent="0.25">
      <c r="K307" s="16"/>
    </row>
    <row r="312" spans="11:11" x14ac:dyDescent="0.25">
      <c r="K312" s="16"/>
    </row>
    <row r="313" spans="11:11" x14ac:dyDescent="0.25">
      <c r="K313" s="16"/>
    </row>
    <row r="314" spans="11:11" x14ac:dyDescent="0.25">
      <c r="K314" s="16"/>
    </row>
    <row r="315" spans="11:11" x14ac:dyDescent="0.25">
      <c r="K315" s="16"/>
    </row>
    <row r="316" spans="11:11" x14ac:dyDescent="0.25">
      <c r="K316" s="16"/>
    </row>
    <row r="318" spans="11:11" x14ac:dyDescent="0.25">
      <c r="K318" s="16"/>
    </row>
    <row r="320" spans="11:11" x14ac:dyDescent="0.25">
      <c r="K320" s="16"/>
    </row>
    <row r="321" spans="11:11" x14ac:dyDescent="0.25">
      <c r="K321" s="16"/>
    </row>
    <row r="322" spans="11:11" x14ac:dyDescent="0.25">
      <c r="K322" s="16"/>
    </row>
    <row r="323" spans="11:11" x14ac:dyDescent="0.25">
      <c r="K323" s="16"/>
    </row>
    <row r="325" spans="11:11" x14ac:dyDescent="0.25">
      <c r="K325" s="16"/>
    </row>
    <row r="333" spans="11:11" x14ac:dyDescent="0.25">
      <c r="K333" s="16"/>
    </row>
    <row r="334" spans="11:11" x14ac:dyDescent="0.25">
      <c r="K334" s="16"/>
    </row>
    <row r="335" spans="11:11" x14ac:dyDescent="0.25">
      <c r="K335" s="16"/>
    </row>
    <row r="338" spans="11:11" x14ac:dyDescent="0.25">
      <c r="K338" s="16"/>
    </row>
    <row r="339" spans="11:11" x14ac:dyDescent="0.25">
      <c r="K339" s="16"/>
    </row>
    <row r="340" spans="11:11" x14ac:dyDescent="0.25">
      <c r="K340" s="16"/>
    </row>
    <row r="343" spans="11:11" x14ac:dyDescent="0.25">
      <c r="K343" s="16"/>
    </row>
    <row r="344" spans="11:11" x14ac:dyDescent="0.25">
      <c r="K344" s="16"/>
    </row>
    <row r="345" spans="11:11" x14ac:dyDescent="0.25">
      <c r="K345" s="16"/>
    </row>
    <row r="348" spans="11:11" x14ac:dyDescent="0.25">
      <c r="K348" s="16"/>
    </row>
    <row r="349" spans="11:11" x14ac:dyDescent="0.25">
      <c r="K349" s="16"/>
    </row>
    <row r="350" spans="11:11" x14ac:dyDescent="0.25">
      <c r="K350" s="16"/>
    </row>
    <row r="357" spans="11:11" x14ac:dyDescent="0.25">
      <c r="K357" s="16"/>
    </row>
    <row r="358" spans="11:11" x14ac:dyDescent="0.25">
      <c r="K358" s="16"/>
    </row>
    <row r="359" spans="11:11" x14ac:dyDescent="0.25">
      <c r="K359" s="16"/>
    </row>
    <row r="362" spans="11:11" x14ac:dyDescent="0.25">
      <c r="K362" s="16"/>
    </row>
    <row r="363" spans="11:11" x14ac:dyDescent="0.25">
      <c r="K363" s="16"/>
    </row>
    <row r="364" spans="11:11" x14ac:dyDescent="0.25">
      <c r="K364" s="16"/>
    </row>
    <row r="367" spans="11:11" x14ac:dyDescent="0.25">
      <c r="K367" s="16"/>
    </row>
    <row r="368" spans="11:11" x14ac:dyDescent="0.25">
      <c r="K368" s="16"/>
    </row>
    <row r="369" spans="4:11" x14ac:dyDescent="0.25">
      <c r="K369" s="16"/>
    </row>
    <row r="372" spans="4:11" x14ac:dyDescent="0.25">
      <c r="K372" s="16"/>
    </row>
    <row r="373" spans="4:11" x14ac:dyDescent="0.25">
      <c r="K373" s="16"/>
    </row>
    <row r="374" spans="4:11" x14ac:dyDescent="0.25">
      <c r="K374" s="16"/>
    </row>
    <row r="378" spans="4:11" x14ac:dyDescent="0.25">
      <c r="D378" s="79"/>
    </row>
  </sheetData>
  <conditionalFormatting sqref="F155:F156">
    <cfRule type="cellIs" dxfId="77" priority="15" operator="lessThan">
      <formula>0</formula>
    </cfRule>
  </conditionalFormatting>
  <conditionalFormatting sqref="F167:F168">
    <cfRule type="cellIs" dxfId="76" priority="14" operator="lessThan">
      <formula>0</formula>
    </cfRule>
  </conditionalFormatting>
  <conditionalFormatting sqref="F179:F180">
    <cfRule type="cellIs" dxfId="75" priority="13" operator="lessThan">
      <formula>0</formula>
    </cfRule>
  </conditionalFormatting>
  <conditionalFormatting sqref="F267:F268">
    <cfRule type="cellIs" dxfId="74" priority="26" operator="lessThan">
      <formula>0</formula>
    </cfRule>
  </conditionalFormatting>
  <conditionalFormatting sqref="F272:F273">
    <cfRule type="cellIs" dxfId="73" priority="25" operator="lessThan">
      <formula>0</formula>
    </cfRule>
  </conditionalFormatting>
  <conditionalFormatting sqref="F277:F278">
    <cfRule type="cellIs" dxfId="72" priority="24" operator="lessThan">
      <formula>0</formula>
    </cfRule>
  </conditionalFormatting>
  <conditionalFormatting sqref="F301:F302">
    <cfRule type="cellIs" dxfId="71" priority="23" operator="lessThan">
      <formula>0</formula>
    </cfRule>
  </conditionalFormatting>
  <conditionalFormatting sqref="F306:F307">
    <cfRule type="cellIs" dxfId="70" priority="22" operator="lessThan">
      <formula>0</formula>
    </cfRule>
  </conditionalFormatting>
  <conditionalFormatting sqref="F311:F312">
    <cfRule type="cellIs" dxfId="69" priority="21" operator="lessThan">
      <formula>0</formula>
    </cfRule>
  </conditionalFormatting>
  <conditionalFormatting sqref="H53 F143:F144">
    <cfRule type="cellIs" dxfId="68"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7" priority="20" operator="lessThan">
      <formula>0</formula>
    </cfRule>
  </conditionalFormatting>
  <conditionalFormatting sqref="I41:I44 I46:I47 F58 I75:I78 L198 K200 L202:L203 K204:K205 L206:L207 K208:K209 L212:L213 K214:K215 L216:L217 K218:K219 L223:L228 K225">
    <cfRule type="cellIs" dxfId="66" priority="18" operator="lessThan">
      <formula>0</formula>
    </cfRule>
  </conditionalFormatting>
  <conditionalFormatting sqref="I82 M119 I141:J141">
    <cfRule type="cellIs" dxfId="65" priority="19" operator="lessThan">
      <formula>0</formula>
    </cfRule>
  </conditionalFormatting>
  <conditionalFormatting sqref="I93:I95">
    <cfRule type="cellIs" dxfId="64" priority="3" operator="lessThan">
      <formula>0</formula>
    </cfRule>
  </conditionalFormatting>
  <conditionalFormatting sqref="I99:I102">
    <cfRule type="cellIs" dxfId="63" priority="2" operator="lessThan">
      <formula>0</formula>
    </cfRule>
  </conditionalFormatting>
  <conditionalFormatting sqref="I106:I110">
    <cfRule type="cellIs" dxfId="62" priority="1" operator="lessThan">
      <formula>0</formula>
    </cfRule>
  </conditionalFormatting>
  <conditionalFormatting sqref="J169">
    <cfRule type="cellIs" dxfId="61" priority="17" operator="lessThan">
      <formula>0</formula>
    </cfRule>
  </conditionalFormatting>
  <conditionalFormatting sqref="L131:L134">
    <cfRule type="cellIs" dxfId="60" priority="7" operator="lessThan">
      <formula>0</formula>
    </cfRule>
  </conditionalFormatting>
  <conditionalFormatting sqref="L137">
    <cfRule type="cellIs" dxfId="59" priority="12" operator="lessThan">
      <formula>0</formula>
    </cfRule>
  </conditionalFormatting>
  <conditionalFormatting sqref="L143:L146">
    <cfRule type="cellIs" dxfId="58" priority="6" operator="lessThan">
      <formula>0</formula>
    </cfRule>
  </conditionalFormatting>
  <conditionalFormatting sqref="L149">
    <cfRule type="cellIs" dxfId="57" priority="11" operator="lessThan">
      <formula>0</formula>
    </cfRule>
  </conditionalFormatting>
  <conditionalFormatting sqref="L155:L158">
    <cfRule type="cellIs" dxfId="56" priority="5" operator="lessThan">
      <formula>0</formula>
    </cfRule>
  </conditionalFormatting>
  <conditionalFormatting sqref="L161">
    <cfRule type="cellIs" dxfId="55" priority="10" operator="lessThan">
      <formula>0</formula>
    </cfRule>
  </conditionalFormatting>
  <conditionalFormatting sqref="L167:L170">
    <cfRule type="cellIs" dxfId="54" priority="4" operator="lessThan">
      <formula>0</formula>
    </cfRule>
  </conditionalFormatting>
  <conditionalFormatting sqref="L173">
    <cfRule type="cellIs" dxfId="53" priority="9" operator="lessThan">
      <formula>0</formula>
    </cfRule>
  </conditionalFormatting>
  <conditionalFormatting sqref="L177:L178">
    <cfRule type="cellIs" dxfId="52" priority="8" operator="lessThan">
      <formula>0</formula>
    </cfRule>
  </conditionalFormatting>
  <conditionalFormatting sqref="L230 L232:L235 L237 J245:J247 J250:J252">
    <cfRule type="cellIs" dxfId="51" priority="27" operator="lessThan">
      <formula>0</formula>
    </cfRule>
  </conditionalFormatting>
  <dataValidations count="9">
    <dataValidation type="list" allowBlank="1" showInputMessage="1" showErrorMessage="1" sqref="D12:D21" xr:uid="{4CBE942D-0E5B-42A4-A093-87D71F0A0D06}">
      <formula1>INDIRECT("FertiliserProducts[Product]")</formula1>
    </dataValidation>
    <dataValidation type="list" allowBlank="1" showInputMessage="1" showErrorMessage="1" sqref="Q25:R34" xr:uid="{C05FA3E8-62B2-414C-90B6-A3F01ADBE4A5}">
      <formula1>INDIRECT("Table_SourceData_Fertiliser_UreaAmmoniaSources[Source]")</formula1>
    </dataValidation>
    <dataValidation type="list" allowBlank="1" showInputMessage="1" showErrorMessage="1" sqref="D54:D56" xr:uid="{8768BBDF-1EC6-431B-ABB7-07C20F61D757}">
      <formula1>INDIRECT("Table_SourceData_OrganicFertiliserTypes[Organic fertiliser type]")</formula1>
    </dataValidation>
    <dataValidation type="list" allowBlank="1" showInputMessage="1" showErrorMessage="1" sqref="H25:H34 J25:J34 L25:L34 N25:N34" xr:uid="{DA451FB7-62AE-40D7-911B-70FC689E3993}">
      <formula1>INDIRECT("Table_Fertiliser_ChemicalCompounds[Fertiliser type f]")</formula1>
    </dataValidation>
    <dataValidation type="list" allowBlank="1" showInputMessage="1" showErrorMessage="1" sqref="E81" xr:uid="{22193C40-5521-4CB6-8C59-87706DE5D3D4}">
      <formula1>INDIRECT("Table_SourceData_Swine_CropProdSystems[Production system]")</formula1>
    </dataValidation>
    <dataValidation type="list" allowBlank="1" showInputMessage="1" showErrorMessage="1" sqref="E82" xr:uid="{A93002DA-106F-4C7E-B281-66A644392746}">
      <formula1>INDIRECT("Table_SourceData_Swine_IrrigationMethods[Irrigation method]")</formula1>
    </dataValidation>
    <dataValidation type="list" allowBlank="1" showInputMessage="1" showErrorMessage="1" sqref="E266 E271 E276 E310 E305 E300 E178 E166 E142 E154" xr:uid="{EC3EF5AE-3563-485E-A47B-26B0E52EDAD4}">
      <formula1>"Yes, No"</formula1>
    </dataValidation>
    <dataValidation type="list" allowBlank="1" showInputMessage="1" showErrorMessage="1" sqref="E242" xr:uid="{88200201-B9E5-4295-A32E-1C1B6F430B56}">
      <formula1>INDIRECT("Table_SourceData_Dairy_ProductionSystemTemplates[Area]")</formula1>
    </dataValidation>
    <dataValidation type="list" allowBlank="1" showInputMessage="1" showErrorMessage="1" sqref="D294" xr:uid="{0AEC526F-282E-4A39-83EC-778AD69759F6}">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5ED73-CD69-4A7E-B476-E787DD9611BA}">
  <sheetPr>
    <tabColor theme="5" tint="-0.249977111117893"/>
  </sheetPr>
  <dimension ref="A1:K346"/>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866</v>
      </c>
    </row>
    <row r="2" spans="1:11" s="3" customFormat="1" ht="20.100000000000001" customHeight="1" x14ac:dyDescent="0.25">
      <c r="A2"/>
    </row>
    <row r="3" spans="1:11" ht="20.100000000000001" customHeight="1" x14ac:dyDescent="0.25">
      <c r="A3" s="5" t="str">
        <f>HYPERLINK("#'Home'!A1", "Home")</f>
        <v>Home</v>
      </c>
      <c r="C3" s="28"/>
      <c r="D3" s="28"/>
      <c r="E3" s="28"/>
      <c r="F3" s="28"/>
      <c r="G3" s="28"/>
      <c r="H3" s="28"/>
      <c r="I3" s="28"/>
      <c r="J3" s="28"/>
      <c r="K3" s="28"/>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
        <v>867</v>
      </c>
      <c r="E5" s="24"/>
      <c r="F5" s="24"/>
      <c r="G5" s="24"/>
      <c r="H5" s="24"/>
    </row>
    <row r="6" spans="1:11" ht="20.100000000000001" customHeight="1" x14ac:dyDescent="0.25">
      <c r="A6" s="5" t="str">
        <f>HYPERLINK("#'Results'!A1", "Results")</f>
        <v>Results</v>
      </c>
      <c r="D6" s="8"/>
      <c r="E6" s="8"/>
      <c r="F6" s="8"/>
      <c r="G6" s="8"/>
      <c r="H6" s="8"/>
      <c r="I6" s="8"/>
      <c r="J6" s="8"/>
    </row>
    <row r="7" spans="1:11" ht="20.100000000000001" customHeight="1" x14ac:dyDescent="0.25">
      <c r="D7" s="1" t="s">
        <v>868</v>
      </c>
    </row>
    <row r="8" spans="1:11" ht="20.100000000000001" customHeight="1" x14ac:dyDescent="0.25">
      <c r="D8" s="1" t="s">
        <v>869</v>
      </c>
    </row>
    <row r="9" spans="1:11" ht="20.100000000000001" customHeight="1" x14ac:dyDescent="0.25">
      <c r="A9" s="7" t="s">
        <v>0</v>
      </c>
      <c r="D9" s="1" t="s">
        <v>870</v>
      </c>
    </row>
    <row r="10" spans="1:11" ht="20.100000000000001" customHeight="1" x14ac:dyDescent="0.25">
      <c r="A10" s="5" t="str">
        <f>HYPERLINK("#'Input - Enterprise'!A1", "Enterprise")</f>
        <v>Enterprise</v>
      </c>
    </row>
    <row r="11" spans="1:11" ht="20.100000000000001" customHeight="1" x14ac:dyDescent="0.25">
      <c r="A11" s="5" t="str">
        <f>HYPERLINK("#'Input - Site'!A1", "Site")</f>
        <v>Site</v>
      </c>
      <c r="D11" s="1" t="s">
        <v>871</v>
      </c>
      <c r="E11" s="13" t="s">
        <v>872</v>
      </c>
      <c r="F11" s="16" t="s">
        <v>100</v>
      </c>
    </row>
    <row r="12" spans="1:11" ht="20.100000000000001" customHeight="1" x14ac:dyDescent="0.25">
      <c r="A12" s="5" t="str">
        <f>HYPERLINK("#'Input - Dairy'!A1", "Dairy")</f>
        <v>Dairy</v>
      </c>
    </row>
    <row r="13" spans="1:11" ht="20.100000000000001" customHeight="1" x14ac:dyDescent="0.25">
      <c r="A13" s="5" t="str">
        <f>HYPERLINK("#'Input - Livestock sales'!A1", "Livestock sales")</f>
        <v>Livestock sales</v>
      </c>
      <c r="D13" s="139" t="s">
        <v>840</v>
      </c>
      <c r="E13" s="43"/>
      <c r="F13" s="43"/>
      <c r="G13" s="43"/>
      <c r="H13" s="44"/>
    </row>
    <row r="14" spans="1:11" ht="20.100000000000001" customHeight="1" x14ac:dyDescent="0.25">
      <c r="A14" s="5" t="str">
        <f>HYPERLINK("#'Input - Dairy cattle purchases'!A1", "Dairy cattle purchases")</f>
        <v>Dairy cattle purchases</v>
      </c>
      <c r="D14" s="45" t="s">
        <v>873</v>
      </c>
      <c r="E14" s="46"/>
      <c r="F14" s="46"/>
      <c r="G14" s="46"/>
      <c r="H14" s="47"/>
    </row>
    <row r="15" spans="1:11" ht="20.100000000000001" customHeight="1" x14ac:dyDescent="0.25">
      <c r="A15" s="5" t="str">
        <f>HYPERLINK("#'Input - Pasture'!A1", "Pasture")</f>
        <v>Pasture</v>
      </c>
      <c r="D15" s="8"/>
      <c r="E15" s="8"/>
      <c r="F15" s="8"/>
      <c r="G15" s="8"/>
      <c r="H15" s="8"/>
      <c r="I15" s="8"/>
      <c r="J15" s="8"/>
    </row>
    <row r="16" spans="1:11" ht="20.100000000000001" customHeight="1" x14ac:dyDescent="0.25">
      <c r="A16" s="5" t="str">
        <f>HYPERLINK("#'Input - Fert Prod System'!A1", "Fert Prod System")</f>
        <v>Fert Prod System</v>
      </c>
      <c r="D16" s="81" t="s">
        <v>874</v>
      </c>
      <c r="E16" s="81" t="s">
        <v>875</v>
      </c>
      <c r="F16" s="81" t="s">
        <v>876</v>
      </c>
      <c r="G16" s="81" t="s">
        <v>877</v>
      </c>
      <c r="H16" s="81" t="s">
        <v>878</v>
      </c>
      <c r="I16" s="81" t="s">
        <v>879</v>
      </c>
      <c r="J16" s="81" t="s">
        <v>880</v>
      </c>
    </row>
    <row r="17" spans="1:10" ht="20.100000000000001" customHeight="1" x14ac:dyDescent="0.25">
      <c r="A17" s="5" t="str">
        <f>HYPERLINK("#'Input - Fertiliser'!A1", "Fertiliser")</f>
        <v>Fertiliser</v>
      </c>
      <c r="D17" s="13" t="s">
        <v>881</v>
      </c>
      <c r="E17" s="13" t="s">
        <v>882</v>
      </c>
      <c r="F17" s="202">
        <v>100</v>
      </c>
      <c r="G17" s="15" t="str" cm="1">
        <f t="array" ref="G17">Common_InputFunctions.Utility_LookupValueInTable(Table_Input_Fuel[[#This Row],[Fuel type (select)]],Table_FuelTypes_Units[Fuel type], Table_FuelTypes_Units[Input Unit])</f>
        <v>GJ</v>
      </c>
      <c r="H17" s="203">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5">
      <c r="A18" s="99" t="str">
        <f>HYPERLINK("#'Input - Fuel'!A1", "Fuel")</f>
        <v>Fuel</v>
      </c>
      <c r="D18" s="13" t="s">
        <v>881</v>
      </c>
      <c r="E18" s="13" t="s">
        <v>883</v>
      </c>
      <c r="F18" s="202">
        <v>10000</v>
      </c>
      <c r="G18" s="15" t="str" cm="1">
        <f t="array" ref="G18">Common_InputFunctions.Utility_LookupValueInTable(Table_Input_Fuel[[#This Row],[Fuel type (select)]],Table_FuelTypes_Units[Fuel type], Table_FuelTypes_Units[Input Unit])</f>
        <v>L</v>
      </c>
      <c r="H18" s="204">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Electricity'!A1", "Electricity")</f>
        <v>Electricity</v>
      </c>
      <c r="D19" s="13" t="s">
        <v>884</v>
      </c>
      <c r="E19" s="13" t="s">
        <v>885</v>
      </c>
      <c r="F19" s="202">
        <v>10000</v>
      </c>
      <c r="G19" s="15" t="str" cm="1">
        <f t="array" ref="G19">Common_InputFunctions.Utility_LookupValueInTable(Table_Input_Fuel[[#This Row],[Fuel type (select)]],Table_FuelTypes_Units[Fuel type], Table_FuelTypes_Units[Input Unit])</f>
        <v>L</v>
      </c>
      <c r="H19" s="204">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Common farm inputs'!A1", "Common farm inputs")</f>
        <v>Common farm inputs</v>
      </c>
      <c r="D20" s="13" t="s">
        <v>886</v>
      </c>
      <c r="E20" s="13" t="s">
        <v>885</v>
      </c>
      <c r="F20" s="202">
        <v>10000</v>
      </c>
      <c r="G20" s="15" t="str" cm="1">
        <f t="array" ref="G20">Common_InputFunctions.Utility_LookupValueInTable(Table_Input_Fuel[[#This Row],[Fuel type (select)]],Table_FuelTypes_Units[Fuel type], Table_FuelTypes_Units[Input Unit])</f>
        <v>L</v>
      </c>
      <c r="H20" s="204">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5">
      <c r="A21" s="5" t="str">
        <f>HYPERLINK("#'Input - Crop pasture farm input'!A1", "Crop pasture farm input")</f>
        <v>Crop pasture farm input</v>
      </c>
      <c r="D21" s="205" t="s">
        <v>887</v>
      </c>
      <c r="E21" s="205" t="s">
        <v>888</v>
      </c>
      <c r="F21" s="202">
        <v>10000</v>
      </c>
      <c r="G21" s="206" t="str" cm="1">
        <f t="array" ref="G21">Common_InputFunctions.Utility_LookupValueInTable(Table_Input_Fuel[[#This Row],[Fuel type (select)]],Table_FuelTypes_Units[Fuel type], Table_FuelTypes_Units[Input Unit])</f>
        <v>L</v>
      </c>
      <c r="H21" s="207">
        <f>1</f>
        <v>1</v>
      </c>
      <c r="I21" s="206">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5">
      <c r="A22" s="5" t="str">
        <f>HYPERLINK("#'Input - Livestock farm Inputs'!A1", "Livestock farm Inputs")</f>
        <v>Livestock farm Inputs</v>
      </c>
    </row>
    <row r="23" spans="1:10" ht="20.100000000000001" customHeight="1" x14ac:dyDescent="0.25">
      <c r="A23" s="5" t="str">
        <f>HYPERLINK("#'Input - Freight'!A1", "Freight")</f>
        <v>Freight</v>
      </c>
    </row>
    <row r="24" spans="1:10" ht="20.100000000000001" customHeight="1" x14ac:dyDescent="0.25">
      <c r="A24" s="5" t="str">
        <f>HYPERLINK("#'Input - Solid waste'!A1", "Solid waste")</f>
        <v>Solid waste</v>
      </c>
    </row>
    <row r="25" spans="1:10" ht="20.100000000000001" customHeight="1" x14ac:dyDescent="0.25">
      <c r="A25" s="5" t="str">
        <f>HYPERLINK("#'Input - Manure sent off-site'!A1", "Manure sent off-site")</f>
        <v>Manure sent off-site</v>
      </c>
    </row>
    <row r="26" spans="1:10" ht="20.100000000000001" customHeight="1" x14ac:dyDescent="0.25">
      <c r="A26" s="5" t="str">
        <f>HYPERLINK("#'Input - Data quality'!A1", "Data quality")</f>
        <v>Data quality</v>
      </c>
    </row>
    <row r="27" spans="1:10" ht="20.100000000000001" customHeight="1" x14ac:dyDescent="0.25"/>
    <row r="28" spans="1:10" ht="20.100000000000001" customHeight="1" x14ac:dyDescent="0.25"/>
    <row r="29" spans="1:10" ht="20.100000000000001" customHeight="1" x14ac:dyDescent="0.25">
      <c r="A29" s="6" t="s">
        <v>2</v>
      </c>
    </row>
    <row r="30" spans="1:10" ht="20.100000000000001" customHeight="1" x14ac:dyDescent="0.25">
      <c r="A30" s="5" t="str">
        <f>HYPERLINK("#'3.3.1.1-2 Enteric Methane'!A1", "3.3.1.1-2 Enteric methane")</f>
        <v>3.3.1.1-2 Enteric methane</v>
      </c>
    </row>
    <row r="31" spans="1:10" ht="20.100000000000001" customHeight="1" x14ac:dyDescent="0.25">
      <c r="A31" s="5" t="str">
        <f>HYPERLINK("#'4.3.1.1-2 Methane'!A1", "4.3.1.1-2 Manure methane")</f>
        <v>4.3.1.1-2 Manure methane</v>
      </c>
    </row>
    <row r="32" spans="1:10" ht="20.100000000000001" customHeight="1" x14ac:dyDescent="0.25">
      <c r="A32" s="5" t="str">
        <f>HYPERLINK("#'4.3.1.3-4 Direct N20'!A1", "4.3.1.3-4 Direct N20")</f>
        <v>4.3.1.3-4 Direct N20</v>
      </c>
    </row>
    <row r="33" spans="1:11" ht="20.100000000000001" customHeight="1" x14ac:dyDescent="0.25">
      <c r="A33" s="5" t="str">
        <f>HYPERLINK("#'4.3.1.5 Atmos deposition'!A1", "4.3.1.5 Atmos deposition")</f>
        <v>4.3.1.5 Atmos deposition</v>
      </c>
    </row>
    <row r="34" spans="1:11" ht="20.100000000000001" customHeight="1" x14ac:dyDescent="0.25">
      <c r="A34" s="5" t="str">
        <f>HYPERLINK("#'4.3.1.6-7 Leaching and runoff'!A1", "4.3.1.6-7 Leaching &amp; runoff")</f>
        <v>4.3.1.6-7 Leaching &amp; runoff</v>
      </c>
    </row>
    <row r="35" spans="1:11" ht="20.100000000000001" customHeight="1" x14ac:dyDescent="0.25">
      <c r="A35" s="5" t="str">
        <f>HYPERLINK("#'4.3.1.8 Manure applied to soils'!A1", "4.3.1.8 Manure applied to soils")</f>
        <v>4.3.1.8 Manure applied to soils</v>
      </c>
    </row>
    <row r="36" spans="1:11" ht="20.100000000000001" customHeight="1" x14ac:dyDescent="0.25">
      <c r="A36" s="5" t="str">
        <f>HYPERLINK("#'4.3.1.9 Soil direct N2O'!A1", "4.3.1.9 Soil direct N2O")</f>
        <v>4.3.1.9 Soil direct N2O</v>
      </c>
    </row>
    <row r="37" spans="1:11" ht="20.100000000000001" customHeight="1" x14ac:dyDescent="0.25">
      <c r="A37" s="5" t="str">
        <f>HYPERLINK("#'4.3.1.10-11 Soil Atmos Dep'!A1", "4.3.1.10-11 Soil Atmos Deposition")</f>
        <v>4.3.1.10-11 Soil Atmos Deposition</v>
      </c>
    </row>
    <row r="38" spans="1:11" ht="20.100000000000001" customHeight="1" x14ac:dyDescent="0.25">
      <c r="A38" s="5" t="str">
        <f>HYPERLINK("#'4.3.1.12-13 Soil leach runoff'!A1", "4.3.1.12-13 Soil leach &amp; runoff")</f>
        <v>4.3.1.12-13 Soil leach &amp; runoff</v>
      </c>
      <c r="C38" s="160"/>
      <c r="K38" s="160"/>
    </row>
    <row r="39" spans="1:11" ht="20.100000000000001" customHeight="1" x14ac:dyDescent="0.25">
      <c r="A39" s="5" t="str">
        <f>HYPERLINK("#'5.1.1.1-2 Inorganic fert N2O'!A1", "5.1.1.1-2 Inorganic fert N2O")</f>
        <v>5.1.1.1-2 Inorganic fert N2O</v>
      </c>
      <c r="C39" s="160"/>
      <c r="K39" s="160"/>
    </row>
    <row r="40" spans="1:11" s="172" customFormat="1" ht="20.100000000000001" customHeight="1" x14ac:dyDescent="0.25">
      <c r="A40" s="5" t="str">
        <f>HYPERLINK("#'5.1.1.3-4 Inorganic fert CO2'!A1", "5.1.1.3-4 Inorganic fert CO2")</f>
        <v>5.1.1.3-4 Inorganic fert CO2</v>
      </c>
      <c r="C40" s="1"/>
      <c r="D40" s="1"/>
      <c r="E40" s="1"/>
      <c r="F40" s="1"/>
      <c r="G40" s="1"/>
      <c r="H40" s="1"/>
      <c r="I40" s="1"/>
      <c r="J40" s="1"/>
      <c r="K40" s="1"/>
    </row>
    <row r="41" spans="1:11" s="172" customFormat="1" ht="20.100000000000001" customHeight="1" x14ac:dyDescent="0.25">
      <c r="A41" s="5" t="str">
        <f>HYPERLINK("#'5.2.1.1-2 Organic Fert N2O'!A1", "5.2.1.1-2 Organic fert N2O")</f>
        <v>5.2.1.1-2 Organic fert N2O</v>
      </c>
      <c r="C41" s="1"/>
      <c r="D41" s="1"/>
      <c r="E41" s="1"/>
      <c r="F41" s="1"/>
      <c r="G41" s="1"/>
      <c r="H41" s="1"/>
      <c r="I41" s="1"/>
      <c r="J41" s="1"/>
      <c r="K41" s="1"/>
    </row>
    <row r="42" spans="1:11" ht="20.100000000000001" customHeight="1" x14ac:dyDescent="0.25">
      <c r="A42" s="5" t="str">
        <f>HYPERLINK("#'5.3.1.1-2 Lime CO2'!A1", "5.3.1.1-2 Lime CO2")</f>
        <v>5.3.1.1-2 Lime CO2</v>
      </c>
    </row>
    <row r="43" spans="1:11" ht="20.100000000000001" customHeight="1" x14ac:dyDescent="0.25">
      <c r="A43" s="5" t="str">
        <f>HYPERLINK("#'5.4.1.1-4 Atmos deposition'!A1", "5.4.1.1-4 Atmos. deposition")</f>
        <v>5.4.1.1-4 Atmos. deposition</v>
      </c>
    </row>
    <row r="44" spans="1:11" ht="20.100000000000001" customHeight="1" x14ac:dyDescent="0.25">
      <c r="A44" s="5" t="str">
        <f>HYPERLINK("#'5.5.1.1-2 Leaching and runoff'!A1", "5.5.1.1-2 Leaching &amp; runoff")</f>
        <v>5.5.1.1-2 Leaching &amp; runoff</v>
      </c>
    </row>
    <row r="45" spans="1:11" ht="20.100000000000001" customHeight="1" x14ac:dyDescent="0.25">
      <c r="A45" s="5" t="str">
        <f>HYPERLINK("#'6.2.1.1-2 Pasture residue N2O'!A1", "6.2.1.1-2 Pasture residue N2O")</f>
        <v>6.2.1.1-2 Pasture residue N2O</v>
      </c>
    </row>
    <row r="46" spans="1:11" ht="20.100000000000001" customHeight="1" x14ac:dyDescent="0.25">
      <c r="A46" s="5" t="str">
        <f>HYPERLINK("#'6.3.1.1-2 Leach runoff pasture'!A1", "6.3.1.1-2 Leach &amp; runoff (pasture)")</f>
        <v>6.3.1.1-2 Leach &amp; runoff (pasture)</v>
      </c>
    </row>
    <row r="47" spans="1:11" ht="20.100000000000001" customHeight="1" x14ac:dyDescent="0.25">
      <c r="A47" s="5" t="str">
        <f>HYPERLINK("#'8.1.1.1-2 Transport fuel'!A1", "8.1.1.1-2 Transport fuel")</f>
        <v>8.1.1.1-2 Transport fuel</v>
      </c>
    </row>
    <row r="48" spans="1:11"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79"/>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B9E1D46F-B471-48D3-A4CE-983F05E84766}">
      <formula1>_xlfn.TRIMRANGE(INDIRECT("Table_FuelTypesPerUse["&amp;D17&amp;"]"))</formula1>
    </dataValidation>
    <dataValidation type="list" allowBlank="1" showInputMessage="1" showErrorMessage="1" sqref="D17:D21" xr:uid="{6B4EEFE0-26E4-4956-9361-A767C630D1CB}">
      <formula1>INDIRECT("Table_FuelTypesPerUse[#Headers]")</formula1>
    </dataValidation>
    <dataValidation type="list" allowBlank="1" showInputMessage="1" showErrorMessage="1" sqref="E11" xr:uid="{E8A460FC-9ED6-4D3C-85BD-3B2F284E39EF}">
      <formula1>"Metro, Non-metro"</formula1>
    </dataValidation>
    <dataValidation type="list" allowBlank="1" showInputMessage="1" showErrorMessage="1" sqref="D29:D30" xr:uid="{6CF0398A-6748-4ADD-8A86-C886539540FA}">
      <formula1>INDIRECT("Table_SourceData_OrganicFertiliserTypes[Organic fertiliser type]")</formula1>
    </dataValidation>
    <dataValidation type="list" allowBlank="1" showInputMessage="1" showErrorMessage="1" sqref="E49" xr:uid="{B0CD9AF2-37DD-4F49-8D24-8A671E21FE22}">
      <formula1>INDIRECT("Table_SourceData_Swine_CropProdSystems[Production system]")</formula1>
    </dataValidation>
    <dataValidation type="list" allowBlank="1" showInputMessage="1" showErrorMessage="1" sqref="E50" xr:uid="{81971889-C1AB-49F2-8EC4-DD1F92E054D6}">
      <formula1>INDIRECT("Table_SourceData_Swine_IrrigationMethods[Irrigation method]")</formula1>
    </dataValidation>
    <dataValidation type="list" allowBlank="1" showInputMessage="1" showErrorMessage="1" sqref="E234 E239 E244 E278 E273 E268 E146 E134 E110 E122" xr:uid="{78B19533-98DF-420D-B693-B4948F5955EA}">
      <formula1>"Yes, No"</formula1>
    </dataValidation>
    <dataValidation type="list" allowBlank="1" showInputMessage="1" showErrorMessage="1" sqref="E210" xr:uid="{648C755E-85B2-4BA5-B99A-65DD5FAC9E74}">
      <formula1>INDIRECT("Table_SourceData_Dairy_ProductionSystemTemplates[Area]")</formula1>
    </dataValidation>
    <dataValidation type="list" allowBlank="1" showInputMessage="1" showErrorMessage="1" sqref="D262" xr:uid="{A03EEBFA-1911-4DD1-AB0F-6B9D195A9A85}">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7A21-7B7F-4201-8D2E-72091FE8CD7F}">
  <sheetPr>
    <tabColor theme="5" tint="-0.249977111117893"/>
  </sheetPr>
  <dimension ref="A1:L3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821</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1" t="s">
        <v>822</v>
      </c>
      <c r="E5" s="13" t="s">
        <v>823</v>
      </c>
      <c r="F5" s="16" t="s">
        <v>100</v>
      </c>
    </row>
    <row r="6" spans="1:10" ht="20.100000000000001" customHeight="1" x14ac:dyDescent="0.25">
      <c r="A6" s="5" t="str">
        <f>HYPERLINK("#'Results'!A1", "Results")</f>
        <v>Results</v>
      </c>
      <c r="E6" s="79"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C8" s="89"/>
      <c r="D8" s="89"/>
      <c r="E8" s="89"/>
      <c r="F8" s="89"/>
      <c r="G8" s="89"/>
      <c r="H8" s="89"/>
      <c r="I8" s="89"/>
      <c r="J8" s="89"/>
    </row>
    <row r="9" spans="1:10" ht="20.100000000000001" customHeight="1" x14ac:dyDescent="0.25">
      <c r="A9" s="7" t="s">
        <v>0</v>
      </c>
      <c r="D9" s="2" t="s">
        <v>824</v>
      </c>
    </row>
    <row r="10" spans="1:10" ht="20.100000000000001" customHeight="1" x14ac:dyDescent="0.25">
      <c r="A10" s="5" t="str">
        <f>HYPERLINK("#'Input - Enterprise'!A1", "Enterprise")</f>
        <v>Enterprise</v>
      </c>
    </row>
    <row r="11" spans="1:10" ht="20.100000000000001" customHeight="1" x14ac:dyDescent="0.25">
      <c r="A11" s="5" t="str">
        <f>HYPERLINK("#'Input - Site'!A1", "Site")</f>
        <v>Site</v>
      </c>
      <c r="D11" s="78" t="s">
        <v>825</v>
      </c>
    </row>
    <row r="12" spans="1:10" ht="20.100000000000001" customHeight="1" x14ac:dyDescent="0.25">
      <c r="A12" s="5" t="str">
        <f>HYPERLINK("#'Input - Dairy'!A1", "Dairy")</f>
        <v>Dairy</v>
      </c>
    </row>
    <row r="13" spans="1:10" ht="20.100000000000001" customHeight="1" x14ac:dyDescent="0.25">
      <c r="A13" s="5" t="str">
        <f>HYPERLINK("#'Input - Livestock sales'!A1", "Livestock sales")</f>
        <v>Livestock sales</v>
      </c>
      <c r="D13" s="35" t="s">
        <v>826</v>
      </c>
      <c r="E13" s="38"/>
      <c r="F13" s="8"/>
    </row>
    <row r="14" spans="1:10" ht="20.100000000000001" customHeight="1" x14ac:dyDescent="0.25">
      <c r="A14" s="5" t="str">
        <f>HYPERLINK("#'Input - Dairy cattle purchases'!A1", "Dairy cattle purchases")</f>
        <v>Dairy cattle purchases</v>
      </c>
      <c r="D14" s="8"/>
      <c r="E14" s="8"/>
      <c r="F14" s="8"/>
    </row>
    <row r="15" spans="1:10" ht="20.100000000000001" customHeight="1" x14ac:dyDescent="0.25">
      <c r="A15" s="5" t="str">
        <f>HYPERLINK("#'Input - Pasture'!A1", "Pasture")</f>
        <v>Pasture</v>
      </c>
      <c r="D15" s="1" t="s">
        <v>827</v>
      </c>
      <c r="E15" s="194">
        <v>30000</v>
      </c>
      <c r="F15" s="16" t="s">
        <v>828</v>
      </c>
    </row>
    <row r="16" spans="1:10" ht="20.100000000000001" customHeight="1" x14ac:dyDescent="0.25">
      <c r="A16" s="5" t="str">
        <f>HYPERLINK("#'Input - Fert Prod System'!A1", "Fert Prod System")</f>
        <v>Fert Prod System</v>
      </c>
      <c r="D16" s="1" t="s">
        <v>829</v>
      </c>
      <c r="E16" s="15" t="str">
        <f>IF(X_Cell_Site_State="Western Australia", X_Cell_Site_Region, X_Cell_Site_State)</f>
        <v>Dry climate zone</v>
      </c>
      <c r="F16" s="8"/>
    </row>
    <row r="17" spans="1:11" ht="20.100000000000001" customHeight="1" x14ac:dyDescent="0.25">
      <c r="A17" s="5" t="str">
        <f>HYPERLINK("#'Input - Fertiliser'!A1", "Fertiliser")</f>
        <v>Fertiliser</v>
      </c>
      <c r="D17" s="1" t="s">
        <v>830</v>
      </c>
      <c r="E17" s="13" t="s">
        <v>831</v>
      </c>
      <c r="F17" s="16" t="s">
        <v>100</v>
      </c>
    </row>
    <row r="18" spans="1:11" ht="20.100000000000001" customHeight="1" x14ac:dyDescent="0.25">
      <c r="A18" s="5" t="str">
        <f>HYPERLINK("#'Input - Fuel'!A1", "Fuel")</f>
        <v>Fuel</v>
      </c>
    </row>
    <row r="19" spans="1:11" ht="20.100000000000001" customHeight="1" x14ac:dyDescent="0.25">
      <c r="A19" s="99" t="str">
        <f>HYPERLINK("#'Input - Electricity'!A1", "Electricity")</f>
        <v>Electricity</v>
      </c>
    </row>
    <row r="20" spans="1:11" ht="20.100000000000001" customHeight="1" x14ac:dyDescent="0.25">
      <c r="A20" s="5" t="str">
        <f>HYPERLINK("#'Input - Common farm inputs'!A1", "Common farm inputs")</f>
        <v>Common farm inputs</v>
      </c>
      <c r="C20" s="89"/>
      <c r="D20" s="89"/>
      <c r="E20" s="89"/>
      <c r="F20" s="89"/>
      <c r="G20" s="89"/>
      <c r="H20" s="89"/>
      <c r="I20" s="89"/>
      <c r="J20" s="89"/>
    </row>
    <row r="21" spans="1:11" ht="20.100000000000001" customHeight="1" x14ac:dyDescent="0.25">
      <c r="A21" s="5" t="str">
        <f>HYPERLINK("#'Input - Crop pasture farm input'!A1", "Crop pasture farm input")</f>
        <v>Crop pasture farm input</v>
      </c>
      <c r="D21" s="2" t="s">
        <v>832</v>
      </c>
    </row>
    <row r="22" spans="1:11" ht="20.100000000000001" customHeight="1" x14ac:dyDescent="0.25">
      <c r="A22" s="5" t="str">
        <f>HYPERLINK("#'Input - Livestock farm Inputs'!A1", "Livestock farm Inputs")</f>
        <v>Livestock farm Inputs</v>
      </c>
      <c r="E22" s="79" t="str">
        <f>IF(E16="ACT", "", "ALERT: Your farm is not in the ACT, so the JRPP is not applicable")</f>
        <v>ALERT: Your farm is not in the ACT, so the JRPP is not applicable</v>
      </c>
    </row>
    <row r="23" spans="1:11" ht="20.100000000000001" customHeight="1" x14ac:dyDescent="0.25">
      <c r="A23" s="5" t="str">
        <f>HYPERLINK("#'Input - Freight'!A1", "Freight")</f>
        <v>Freight</v>
      </c>
      <c r="D23" s="1" t="s">
        <v>833</v>
      </c>
      <c r="E23" s="194">
        <v>30000</v>
      </c>
      <c r="F23" s="16" t="s">
        <v>828</v>
      </c>
    </row>
    <row r="24" spans="1:11" ht="20.100000000000001" customHeight="1" x14ac:dyDescent="0.25">
      <c r="A24" s="5" t="str">
        <f>HYPERLINK("#'Input - Solid waste'!A1", "Solid waste")</f>
        <v>Solid waste</v>
      </c>
      <c r="D24" s="1" t="s">
        <v>834</v>
      </c>
      <c r="E24" s="18">
        <v>0.1</v>
      </c>
      <c r="F24" s="16" t="s">
        <v>149</v>
      </c>
    </row>
    <row r="25" spans="1:11" ht="20.100000000000001" customHeight="1" x14ac:dyDescent="0.25">
      <c r="A25" s="5" t="str">
        <f>HYPERLINK("#'Input - Manure sent off-site'!A1", "Manure sent off-site")</f>
        <v>Manure sent off-site</v>
      </c>
      <c r="D25" s="1" t="s">
        <v>835</v>
      </c>
      <c r="E25" s="18">
        <v>0.1</v>
      </c>
      <c r="F25" s="16" t="s">
        <v>149</v>
      </c>
    </row>
    <row r="26" spans="1:11" ht="20.100000000000001" customHeight="1" x14ac:dyDescent="0.25">
      <c r="A26" s="5" t="str">
        <f>HYPERLINK("#'Input - Data quality'!A1", "Data quality")</f>
        <v>Data quality</v>
      </c>
    </row>
    <row r="27" spans="1:11" ht="20.100000000000001" customHeight="1" x14ac:dyDescent="0.25">
      <c r="D27" s="1" t="s">
        <v>836</v>
      </c>
      <c r="E27" s="194">
        <v>10000</v>
      </c>
      <c r="F27" s="16" t="s">
        <v>828</v>
      </c>
    </row>
    <row r="28" spans="1:11" ht="20.100000000000001" customHeight="1" x14ac:dyDescent="0.25"/>
    <row r="29" spans="1:11" ht="20.100000000000001" customHeight="1" x14ac:dyDescent="0.25">
      <c r="A29" s="6" t="s">
        <v>2</v>
      </c>
      <c r="D29" s="1" t="s">
        <v>837</v>
      </c>
      <c r="E29" s="195" t="str">
        <f>TEXT(X_Cell_Site_StartDate, "dd mmm yyyy")</f>
        <v>NO - Not in leaching zone</v>
      </c>
      <c r="K29" s="172"/>
    </row>
    <row r="30" spans="1:11" ht="20.100000000000001" customHeight="1" x14ac:dyDescent="0.25">
      <c r="A30" s="5" t="str">
        <f>HYPERLINK("#'3.3.1.1-2 Enteric Methane'!A1", "3.3.1.1-2 Enteric methane")</f>
        <v>3.3.1.1-2 Enteric methane</v>
      </c>
      <c r="D30" s="1" t="s">
        <v>838</v>
      </c>
      <c r="E30" s="195" t="str">
        <f>TEXT(X_Cell_Site_EndDate, "dd mmm yyyy")</f>
        <v>02 Nov 1900</v>
      </c>
      <c r="K30" s="172"/>
    </row>
    <row r="31" spans="1:11" ht="20.100000000000001" customHeight="1" x14ac:dyDescent="0.25">
      <c r="A31" s="5" t="str">
        <f>HYPERLINK("#'4.3.1.1-2 Methane'!A1", "4.3.1.1-2 Manure methane")</f>
        <v>4.3.1.1-2 Manure methane</v>
      </c>
      <c r="K31" s="172"/>
    </row>
    <row r="32" spans="1:11" ht="20.100000000000001" customHeight="1" x14ac:dyDescent="0.25">
      <c r="A32" s="5" t="str">
        <f>HYPERLINK("#'4.3.1.3-4 Direct N20'!A1", "4.3.1.3-4 Direct N20")</f>
        <v>4.3.1.3-4 Direct N20</v>
      </c>
      <c r="D32" s="78" t="s">
        <v>839</v>
      </c>
      <c r="K32" s="172"/>
    </row>
    <row r="33" spans="1:12" ht="20.100000000000001" customHeight="1" x14ac:dyDescent="0.25">
      <c r="A33" s="5" t="str">
        <f>HYPERLINK("#'4.3.1.5 Atmos deposition'!A1", "4.3.1.5 Atmos deposition")</f>
        <v>4.3.1.5 Atmos deposition</v>
      </c>
      <c r="K33" s="172"/>
    </row>
    <row r="34" spans="1:12" ht="20.100000000000001" customHeight="1" x14ac:dyDescent="0.25">
      <c r="A34" s="5" t="str">
        <f>HYPERLINK("#'4.3.1.6-7 Leaching and runoff'!A1", "4.3.1.6-7 Leaching &amp; runoff")</f>
        <v>4.3.1.6-7 Leaching &amp; runoff</v>
      </c>
      <c r="D34" s="35" t="s">
        <v>840</v>
      </c>
      <c r="E34" s="38"/>
      <c r="K34" s="172"/>
    </row>
    <row r="35" spans="1:12" ht="20.100000000000001" customHeight="1" x14ac:dyDescent="0.25">
      <c r="A35" s="5" t="str">
        <f>HYPERLINK("#'4.3.1.8 Manure applied to soils'!A1", "4.3.1.8 Manure applied to soils")</f>
        <v>4.3.1.8 Manure applied to soils</v>
      </c>
    </row>
    <row r="36" spans="1:12" ht="20.100000000000001" customHeight="1" x14ac:dyDescent="0.25">
      <c r="A36" s="5" t="str">
        <f>HYPERLINK("#'4.3.1.9 Soil direct N2O'!A1", "4.3.1.9 Soil direct N2O")</f>
        <v>4.3.1.9 Soil direct N2O</v>
      </c>
      <c r="D36" s="81" t="s">
        <v>202</v>
      </c>
      <c r="E36" s="81" t="s">
        <v>841</v>
      </c>
      <c r="F36" s="81" t="s">
        <v>842</v>
      </c>
      <c r="G36" s="81" t="s">
        <v>843</v>
      </c>
      <c r="H36" s="81" t="s">
        <v>844</v>
      </c>
      <c r="I36" s="81" t="s">
        <v>845</v>
      </c>
      <c r="L36" s="172"/>
    </row>
    <row r="37" spans="1:12" ht="20.100000000000001" customHeight="1" x14ac:dyDescent="0.25">
      <c r="A37" s="5" t="str">
        <f>HYPERLINK("#'4.3.1.10-11 Soil Atmos Dep'!A1", "4.3.1.10-11 Soil Atmos Deposition")</f>
        <v>4.3.1.10-11 Soil Atmos Deposition</v>
      </c>
      <c r="D37" s="19" t="s">
        <v>846</v>
      </c>
      <c r="E37" s="13" t="s">
        <v>847</v>
      </c>
      <c r="F37" s="196">
        <v>44185</v>
      </c>
      <c r="G37" s="19">
        <v>12</v>
      </c>
      <c r="H37" s="15">
        <f>Table_Input_RECSurrendered[[#This Row],[Number of certificates]]</f>
        <v>12</v>
      </c>
      <c r="I37" s="15" t="e">
        <f>IF(DATEDIF(Table_Input_RECSurrendered[[#This Row],[Generation date]],DATEVALUE($E$30),"M")&gt;36,"Ineligible - older than 36 months","Elegible")</f>
        <v>#NUM!</v>
      </c>
      <c r="L37" s="172"/>
    </row>
    <row r="38" spans="1:12" ht="20.100000000000001" customHeight="1" x14ac:dyDescent="0.25">
      <c r="A38" s="5" t="str">
        <f>HYPERLINK("#'4.3.1.12-13 Soil leach runoff'!A1", "4.3.1.12-13 Soil leach &amp; runoff")</f>
        <v>4.3.1.12-13 Soil leach &amp; runoff</v>
      </c>
      <c r="D38" s="19" t="s">
        <v>848</v>
      </c>
      <c r="E38" s="13" t="s">
        <v>849</v>
      </c>
      <c r="F38" s="196">
        <v>44575</v>
      </c>
      <c r="G38" s="19">
        <v>5</v>
      </c>
      <c r="H38" s="15">
        <f>Table_Input_RECSurrendered[[#This Row],[Number of certificates]]</f>
        <v>5</v>
      </c>
      <c r="I38" s="15" t="e">
        <f>IF(DATEDIF(Table_Input_RECSurrendered[[#This Row],[Generation date]],DATEVALUE($E$30),"M")&gt;36,"Ineligible - older than 36 months","Elegible")</f>
        <v>#NUM!</v>
      </c>
    </row>
    <row r="39" spans="1:12" ht="20.100000000000001" customHeight="1" x14ac:dyDescent="0.25">
      <c r="A39" s="5" t="str">
        <f>HYPERLINK("#'5.1.1.1-2 Inorganic fert N2O'!A1", "5.1.1.1-2 Inorganic fert N2O")</f>
        <v>5.1.1.1-2 Inorganic fert N2O</v>
      </c>
      <c r="D39" s="19" t="s">
        <v>850</v>
      </c>
      <c r="E39" s="13" t="s">
        <v>847</v>
      </c>
      <c r="F39" s="196">
        <v>45438</v>
      </c>
      <c r="G39" s="19">
        <v>5</v>
      </c>
      <c r="H39" s="15">
        <f>Table_Input_RECSurrendered[[#This Row],[Number of certificates]]</f>
        <v>5</v>
      </c>
      <c r="I39" s="15" t="e">
        <f>IF(DATEDIF(Table_Input_RECSurrendered[[#This Row],[Generation date]],DATEVALUE($E$30),"M")&gt;36,"Ineligible - older than 36 months","Elegible")</f>
        <v>#NUM!</v>
      </c>
    </row>
    <row r="40" spans="1:12" s="172" customFormat="1" ht="20.100000000000001" customHeight="1" x14ac:dyDescent="0.25">
      <c r="A40" s="5" t="str">
        <f>HYPERLINK("#'5.1.1.3-4 Inorganic fert CO2'!A1", "5.1.1.3-4 Inorganic fert CO2")</f>
        <v>5.1.1.3-4 Inorganic fert CO2</v>
      </c>
      <c r="C40" s="1"/>
      <c r="D40" s="1"/>
      <c r="E40" s="1"/>
      <c r="F40" s="1"/>
      <c r="G40" s="1"/>
      <c r="H40" s="1"/>
      <c r="I40" s="1"/>
      <c r="J40" s="1"/>
    </row>
    <row r="41" spans="1:12" s="172" customFormat="1" ht="20.100000000000001" customHeight="1" x14ac:dyDescent="0.25">
      <c r="A41" s="5" t="str">
        <f>HYPERLINK("#'5.2.1.1-2 Organic Fert N2O'!A1", "5.2.1.1-2 Organic fert N2O")</f>
        <v>5.2.1.1-2 Organic fert N2O</v>
      </c>
      <c r="C41" s="1"/>
      <c r="D41" s="1" t="s">
        <v>851</v>
      </c>
      <c r="E41" s="15">
        <f>SUMIF(Table_Input_RECSurrendered[Elegibility], "Elegible", Table_Input_RECSurrendered[MWh])</f>
        <v>0</v>
      </c>
      <c r="F41" s="16" t="s">
        <v>844</v>
      </c>
      <c r="G41" s="1"/>
      <c r="H41" s="1"/>
      <c r="I41" s="1"/>
      <c r="J41" s="1"/>
      <c r="L41" s="172" t="s">
        <v>568</v>
      </c>
    </row>
    <row r="42" spans="1:12" ht="20.100000000000001" customHeight="1" x14ac:dyDescent="0.25">
      <c r="A42" s="5" t="str">
        <f>HYPERLINK("#'5.3.1.1-2 Lime CO2'!A1", "5.3.1.1-2 Lime CO2")</f>
        <v>5.3.1.1-2 Lime CO2</v>
      </c>
      <c r="C42" s="160"/>
    </row>
    <row r="43" spans="1:12" ht="20.100000000000001" customHeight="1" x14ac:dyDescent="0.25">
      <c r="A43" s="5" t="str">
        <f>HYPERLINK("#'5.4.1.1-4 Atmos deposition'!A1", "5.4.1.1-4 Atmos. deposition")</f>
        <v>5.4.1.1-4 Atmos. deposition</v>
      </c>
      <c r="C43" s="160"/>
      <c r="D43" s="78" t="s">
        <v>852</v>
      </c>
      <c r="J43" s="160"/>
    </row>
    <row r="44" spans="1:12" ht="20.100000000000001" customHeight="1" x14ac:dyDescent="0.25">
      <c r="A44" s="5" t="str">
        <f>HYPERLINK("#'5.5.1.1-2 Leaching and runoff'!A1", "5.5.1.1-2 Leaching &amp; runoff")</f>
        <v>5.5.1.1-2 Leaching &amp; runoff</v>
      </c>
    </row>
    <row r="45" spans="1:12" ht="20.100000000000001" customHeight="1" x14ac:dyDescent="0.25">
      <c r="A45" s="5" t="str">
        <f>HYPERLINK("#'6.2.1.1-2 Pasture residue N2O'!A1", "6.2.1.1-2 Pasture residue N2O")</f>
        <v>6.2.1.1-2 Pasture residue N2O</v>
      </c>
      <c r="D45" s="81" t="s">
        <v>202</v>
      </c>
      <c r="E45" s="81" t="s">
        <v>795</v>
      </c>
      <c r="F45" s="81" t="s">
        <v>842</v>
      </c>
      <c r="G45" s="81" t="s">
        <v>843</v>
      </c>
      <c r="H45" s="81" t="s">
        <v>844</v>
      </c>
      <c r="I45" s="81" t="s">
        <v>845</v>
      </c>
    </row>
    <row r="46" spans="1:12" ht="20.100000000000001" customHeight="1" x14ac:dyDescent="0.25">
      <c r="A46" s="5" t="str">
        <f>HYPERLINK("#'6.3.1.1-2 Leach runoff pasture'!A1", "6.3.1.1-2 Leach &amp; runoff (pasture)")</f>
        <v>6.3.1.1-2 Leach &amp; runoff (pasture)</v>
      </c>
      <c r="D46" s="19" t="s">
        <v>853</v>
      </c>
      <c r="E46" s="197" t="str">
        <f>"Issued for generated electricity"</f>
        <v>Issued for generated electricity</v>
      </c>
      <c r="F46" s="196">
        <v>44697</v>
      </c>
      <c r="G46" s="19">
        <v>10</v>
      </c>
      <c r="H46" s="15">
        <f>Table_Input_RECConsumedByEntity[[#This Row],[Number of certificates]]</f>
        <v>10</v>
      </c>
      <c r="I46" s="15" t="e">
        <f>IF(AND(Table_Input_RECConsumedByEntity[[#This Row],[Generation date]]&gt;=DATEVALUE($E$29), Table_Input_RECConsumedByEntity[[#This Row],[Generation date]]&lt;= DATEVALUE($E$30)), "Elegible", "Ineligible - outside reporting year")</f>
        <v>#VALUE!</v>
      </c>
    </row>
    <row r="47" spans="1:12" ht="20.100000000000001" customHeight="1" x14ac:dyDescent="0.25">
      <c r="A47" s="5" t="str">
        <f>HYPERLINK("#'8.1.1.1-2 Transport fuel'!A1", "8.1.1.1-2 Transport fuel")</f>
        <v>8.1.1.1-2 Transport fuel</v>
      </c>
      <c r="D47" s="19" t="s">
        <v>854</v>
      </c>
      <c r="E47" s="197" t="str">
        <f>"Issued for generated electricity"</f>
        <v>Issued for generated electricity</v>
      </c>
      <c r="F47" s="196">
        <v>45483</v>
      </c>
      <c r="G47" s="19">
        <v>4</v>
      </c>
      <c r="H47" s="15">
        <f>Table_Input_RECConsumedByEntity[[#This Row],[Number of certificates]]</f>
        <v>4</v>
      </c>
      <c r="I47" s="15" t="e">
        <f>IF(AND(Table_Input_RECConsumedByEntity[[#This Row],[Generation date]]&gt;=DATEVALUE($E$29), Table_Input_RECConsumedByEntity[[#This Row],[Generation date]]&lt;= DATEVALUE($E$30)), "Elegible", "Ineligible - outside reporting year")</f>
        <v>#VALUE!</v>
      </c>
    </row>
    <row r="48" spans="1:12" ht="20.100000000000001" customHeight="1" x14ac:dyDescent="0.25">
      <c r="A48" s="5" t="str">
        <f>HYPERLINK("#'8.2.1.1-2 Stationary fuel'!A1", "8.2.1.1-2 Stationary fuel")</f>
        <v>8.2.1.1-2 Stationary fuel</v>
      </c>
      <c r="D48" s="198">
        <v>45597</v>
      </c>
      <c r="E48" s="197" t="str">
        <f>"Issued for generated electricity"</f>
        <v>Issued for generated electricity</v>
      </c>
      <c r="F48" s="196">
        <v>45607</v>
      </c>
      <c r="G48" s="19">
        <v>7</v>
      </c>
      <c r="H48" s="15">
        <f>Table_Input_RECConsumedByEntity[[#This Row],[Number of certificates]]</f>
        <v>7</v>
      </c>
      <c r="I48" s="15" t="e">
        <f>IF(AND(Table_Input_RECConsumedByEntity[[#This Row],[Generation date]]&gt;=DATEVALUE($E$29), Table_Input_RECConsumedByEntity[[#This Row],[Generation date]]&lt;= DATEVALUE($E$30)), "Elegible", "Ineligible - outside reporting year")</f>
        <v>#VALUE!</v>
      </c>
    </row>
    <row r="49" spans="1:6" ht="20.100000000000001" customHeight="1" x14ac:dyDescent="0.25">
      <c r="A49" s="5" t="str">
        <f>HYPERLINK("#'10.1.1-2 Solid waste treatment'!A1", "10.1.1.1-2 Solid waste")</f>
        <v>10.1.1.1-2 Solid waste</v>
      </c>
    </row>
    <row r="50" spans="1:6" ht="20.100000000000001" customHeight="1" x14ac:dyDescent="0.25">
      <c r="A50" s="5" t="str">
        <f>HYPERLINK("#'14.1.1-2 Purchased electricity'!A1", "14.1.1-2 Purchased electricity")</f>
        <v>14.1.1-2 Purchased electricity</v>
      </c>
      <c r="D50" s="1" t="s">
        <v>855</v>
      </c>
      <c r="E50" s="15">
        <f>SUMIF(Table_Input_RECConsumedByEntity[Elegibility], "Elegible", Table_Input_RECConsumedByEntity[Number of certificates])</f>
        <v>0</v>
      </c>
      <c r="F50" s="16" t="s">
        <v>844</v>
      </c>
    </row>
    <row r="51" spans="1:6" ht="20.100000000000001" customHeight="1" x14ac:dyDescent="0.25">
      <c r="A51" s="5" t="str">
        <f>HYPERLINK("#'15 Scope 3'!A1", "15 Scope 3")</f>
        <v>15 Scope 3</v>
      </c>
    </row>
    <row r="52" spans="1:6" ht="20.100000000000001" customHeight="1" x14ac:dyDescent="0.25">
      <c r="A52" s="5" t="str">
        <f>HYPERLINK("#'Calcs - Manure sent off-site'!A1", "Calcs - Manure sent off-site")</f>
        <v>Calcs - Manure sent off-site</v>
      </c>
    </row>
    <row r="53" spans="1:6" ht="20.100000000000001" customHeight="1" x14ac:dyDescent="0.25"/>
    <row r="54" spans="1:6" ht="20.100000000000001" customHeight="1" x14ac:dyDescent="0.25"/>
    <row r="55" spans="1:6" ht="20.100000000000001" customHeight="1" x14ac:dyDescent="0.25">
      <c r="A55" s="83" t="s">
        <v>1</v>
      </c>
      <c r="D55" s="199"/>
    </row>
    <row r="56" spans="1:6" ht="20.100000000000001" customHeight="1" x14ac:dyDescent="0.25">
      <c r="A56" s="5" t="str">
        <f>HYPERLINK("#'Constants - Dairy'!A1", "Constants - Dairy")</f>
        <v>Constants - Dairy</v>
      </c>
      <c r="D56" s="199"/>
    </row>
    <row r="57" spans="1:6" ht="20.100000000000001" customHeight="1" x14ac:dyDescent="0.25">
      <c r="A57" s="5" t="str">
        <f>HYPERLINK("#'Constants - Ag Residue'!A1", "Constants - Ag residue")</f>
        <v>Constants - Ag residue</v>
      </c>
    </row>
    <row r="58" spans="1:6" ht="20.100000000000001" customHeight="1" x14ac:dyDescent="0.25">
      <c r="A58" s="5" t="str">
        <f>HYPERLINK("#'Constants - Common Livestock'!A1", "Constants - Common Livestock")</f>
        <v>Constants - Common Livestock</v>
      </c>
    </row>
    <row r="59" spans="1:6" ht="20.100000000000001" customHeight="1" x14ac:dyDescent="0.25">
      <c r="A59" s="5" t="str">
        <f>HYPERLINK("#'Constants - Electricity'!A1", "Constants - Electricity")</f>
        <v>Constants - Electricity</v>
      </c>
    </row>
    <row r="60" spans="1:6" ht="20.100000000000001" customHeight="1" x14ac:dyDescent="0.25">
      <c r="A60" s="5" t="str">
        <f>HYPERLINK("#'Constants - Fertiliser'!A1", "Constants - Fertiliser")</f>
        <v>Constants - Fertiliser</v>
      </c>
    </row>
    <row r="61" spans="1:6" ht="20.100000000000001" customHeight="1" x14ac:dyDescent="0.25">
      <c r="A61" s="5" t="str">
        <f>HYPERLINK("#'Constants - Fuel'!A1", "Constants - Fuel")</f>
        <v>Constants - Fuel</v>
      </c>
    </row>
    <row r="62" spans="1:6" ht="20.100000000000001" customHeight="1" x14ac:dyDescent="0.25">
      <c r="A62" s="5" t="str">
        <f>HYPERLINK("#'Constants - Scope 3'!A1", "Constants - Scope 3")</f>
        <v>Constants - Scope 3</v>
      </c>
    </row>
    <row r="63" spans="1:6" ht="20.100000000000001" customHeight="1" x14ac:dyDescent="0.25">
      <c r="A63" s="5" t="str">
        <f>HYPERLINK("#'Constants - Common'!A1", "Constants - Common")</f>
        <v>Constants - Common</v>
      </c>
    </row>
    <row r="64" spans="1:6"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79"/>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69B2979C-4834-41CA-97FB-E5F805678695}">
      <formula1>"Location-based (simpler), Market-based (more complex)"</formula1>
    </dataValidation>
    <dataValidation type="list" allowBlank="1" showInputMessage="1" showErrorMessage="1" sqref="E37:E39" xr:uid="{C4A56559-20FA-4BE3-BFC7-B082CF3664ED}">
      <formula1>"Purchased certificate, Issued for generated electricity"</formula1>
    </dataValidation>
    <dataValidation type="list" allowBlank="1" showInputMessage="1" showErrorMessage="1" sqref="E17" xr:uid="{B4497A04-2BC6-49EA-A097-7C76E238B5AF}">
      <formula1>INDIRECT("Table_SourceData_ElectricityEFs[State, Territory or grid description]")</formula1>
    </dataValidation>
    <dataValidation type="list" allowBlank="1" showInputMessage="1" showErrorMessage="1" sqref="E69" xr:uid="{26906B1E-80F8-4B8A-8625-299472490993}">
      <formula1>INDIRECT("Table_SourceData_Swine_IrrigationMethods[Irrigation method]")</formula1>
    </dataValidation>
    <dataValidation type="list" allowBlank="1" showInputMessage="1" showErrorMessage="1" sqref="E253 E258 E263 E297 E292 E287 E165 E153 E129 E141" xr:uid="{1A0A4E9A-AD0A-4F11-A8F1-78959737DFC2}">
      <formula1>"Yes, No"</formula1>
    </dataValidation>
    <dataValidation type="list" allowBlank="1" showInputMessage="1" showErrorMessage="1" sqref="E229" xr:uid="{FFF4EA56-D2F0-4AFA-A447-83726C1CAEC2}">
      <formula1>INDIRECT("Table_SourceData_Dairy_ProductionSystemTemplates[Area]")</formula1>
    </dataValidation>
    <dataValidation type="list" allowBlank="1" showInputMessage="1" showErrorMessage="1" sqref="D281" xr:uid="{97E18458-96BE-42B8-983D-6E8783FD00CC}">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82D6-9F34-4F54-9FC4-2B52C93142E8}">
  <sheetPr>
    <tabColor theme="5" tint="-0.249977111117893"/>
  </sheetPr>
  <dimension ref="A1:S227"/>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97" customWidth="1"/>
    <col min="2" max="2" width="4.7109375" style="97" customWidth="1"/>
    <col min="3" max="3" width="4.7109375" style="255" customWidth="1"/>
    <col min="4" max="4" width="47.140625" style="255" customWidth="1"/>
    <col min="5" max="10" width="30.7109375" style="255" customWidth="1"/>
    <col min="11" max="18" width="35" style="1" customWidth="1"/>
    <col min="19" max="19" width="5.28515625" style="1" customWidth="1"/>
    <col min="20" max="16384" width="9.140625" style="97"/>
  </cols>
  <sheetData>
    <row r="1" spans="1:19" ht="30" customHeight="1" x14ac:dyDescent="0.35">
      <c r="A1" s="10" t="e" vm="1">
        <v>#VALUE!</v>
      </c>
      <c r="C1" s="27" t="s">
        <v>1101</v>
      </c>
      <c r="D1" s="21"/>
      <c r="E1" s="21"/>
      <c r="F1" s="21"/>
      <c r="G1" s="21"/>
      <c r="H1" s="21"/>
      <c r="I1" s="21"/>
      <c r="J1" s="21"/>
      <c r="K1" s="21"/>
      <c r="L1" s="21"/>
      <c r="M1" s="21"/>
      <c r="N1" s="21"/>
      <c r="O1" s="21"/>
      <c r="P1" s="21"/>
      <c r="Q1" s="21"/>
      <c r="R1" s="21"/>
      <c r="S1" s="21"/>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5">
      <c r="A4" s="5" t="str">
        <f>HYPERLINK("#'Results - Activity period'!A1", "Results - Activity period")</f>
        <v>Results - Activity period</v>
      </c>
      <c r="C4" s="24"/>
      <c r="D4" s="24"/>
      <c r="E4" s="24"/>
      <c r="F4" s="24"/>
      <c r="G4" s="24"/>
      <c r="H4" s="24"/>
      <c r="I4" s="24"/>
      <c r="J4" s="24"/>
    </row>
    <row r="5" spans="1:19" ht="20.100000000000001" customHeight="1" x14ac:dyDescent="0.25">
      <c r="A5" s="5" t="str">
        <f>HYPERLINK("#'Results - Product EI'!A1", "Results - Product Emissions Intensity")</f>
        <v>Results - Product Emissions Intensity</v>
      </c>
      <c r="C5" s="1"/>
      <c r="D5" s="2" t="s">
        <v>1102</v>
      </c>
      <c r="E5" s="24"/>
      <c r="F5" s="24"/>
      <c r="G5" s="24"/>
      <c r="H5" s="24"/>
      <c r="I5" s="24"/>
      <c r="J5" s="24"/>
    </row>
    <row r="6" spans="1:19" ht="20.100000000000001" customHeight="1" x14ac:dyDescent="0.25">
      <c r="A6" s="5" t="str">
        <f>HYPERLINK("#'Results'!A1", "Results")</f>
        <v>Results</v>
      </c>
      <c r="C6" s="1"/>
    </row>
    <row r="7" spans="1:19" ht="20.100000000000001" customHeight="1" x14ac:dyDescent="0.25">
      <c r="A7"/>
      <c r="C7" s="1"/>
      <c r="D7" s="81" t="s">
        <v>1103</v>
      </c>
      <c r="E7" s="81" t="s">
        <v>1104</v>
      </c>
      <c r="F7" s="81" t="s">
        <v>1105</v>
      </c>
    </row>
    <row r="8" spans="1:19" ht="20.100000000000001" customHeight="1" x14ac:dyDescent="0.25">
      <c r="A8"/>
      <c r="C8" s="1"/>
      <c r="D8" s="33" t="s">
        <v>1106</v>
      </c>
      <c r="E8" s="13" t="s">
        <v>1107</v>
      </c>
      <c r="F8" s="75">
        <v>100</v>
      </c>
    </row>
    <row r="9" spans="1:19" ht="20.100000000000001" customHeight="1" x14ac:dyDescent="0.25">
      <c r="A9" s="7" t="s">
        <v>0</v>
      </c>
      <c r="C9" s="1"/>
      <c r="D9" s="33" t="s">
        <v>1108</v>
      </c>
      <c r="E9" s="205" t="s">
        <v>1109</v>
      </c>
      <c r="F9" s="257">
        <v>100</v>
      </c>
    </row>
    <row r="10" spans="1:19" ht="20.100000000000001" customHeight="1" x14ac:dyDescent="0.25">
      <c r="A10" s="5" t="str">
        <f>HYPERLINK("#'Input - Enterprise'!A1", "Enterprise")</f>
        <v>Enterprise</v>
      </c>
      <c r="D10" s="33" t="s">
        <v>1110</v>
      </c>
      <c r="E10" s="205" t="s">
        <v>1111</v>
      </c>
      <c r="F10" s="257">
        <v>100</v>
      </c>
    </row>
    <row r="11" spans="1:19" ht="20.100000000000001" customHeight="1" x14ac:dyDescent="0.25">
      <c r="A11" s="5" t="str">
        <f>HYPERLINK("#'Input - Site'!A1", "Site")</f>
        <v>Site</v>
      </c>
      <c r="D11" s="33" t="s">
        <v>1110</v>
      </c>
      <c r="E11" s="205" t="s">
        <v>1111</v>
      </c>
      <c r="F11" s="257">
        <v>100</v>
      </c>
    </row>
    <row r="12" spans="1:19" ht="20.100000000000001" customHeight="1" x14ac:dyDescent="0.25">
      <c r="A12" s="5" t="str">
        <f>HYPERLINK("#'Input - Dairy'!A1", "Dairy")</f>
        <v>Dairy</v>
      </c>
      <c r="C12" s="1"/>
      <c r="D12" s="33" t="s">
        <v>1106</v>
      </c>
      <c r="E12" s="205" t="s">
        <v>1107</v>
      </c>
      <c r="F12" s="257">
        <v>100</v>
      </c>
    </row>
    <row r="13" spans="1:19" ht="20.100000000000001" customHeight="1" x14ac:dyDescent="0.25">
      <c r="A13" s="5" t="str">
        <f>HYPERLINK("#'Input - Livestock sales'!A1", "Livestock sales")</f>
        <v>Livestock sales</v>
      </c>
      <c r="C13" s="1"/>
      <c r="D13" s="33" t="s">
        <v>1106</v>
      </c>
      <c r="E13" s="205" t="s">
        <v>1107</v>
      </c>
      <c r="F13" s="257">
        <v>100</v>
      </c>
    </row>
    <row r="14" spans="1:19" ht="20.100000000000001" customHeight="1" x14ac:dyDescent="0.25">
      <c r="A14" s="5" t="str">
        <f>HYPERLINK("#'Input - Dairy cattle purchases'!A1", "Dairy cattle purchases")</f>
        <v>Dairy cattle purchases</v>
      </c>
      <c r="D14" s="33"/>
      <c r="E14" s="13"/>
      <c r="F14" s="75"/>
    </row>
    <row r="15" spans="1:19" ht="20.100000000000001" customHeight="1" x14ac:dyDescent="0.25">
      <c r="A15" s="5" t="str">
        <f>HYPERLINK("#'Input - Pasture'!A1", "Pasture")</f>
        <v>Pasture</v>
      </c>
      <c r="D15" s="33"/>
      <c r="E15" s="13"/>
      <c r="F15" s="75"/>
    </row>
    <row r="16" spans="1:19" ht="20.100000000000001" customHeight="1" x14ac:dyDescent="0.25">
      <c r="A16" s="5" t="str">
        <f>HYPERLINK("#'Input - Fert Prod System'!A1", "Fert Prod System")</f>
        <v>Fert Prod System</v>
      </c>
      <c r="D16" s="33"/>
      <c r="E16" s="13"/>
      <c r="F16" s="75"/>
    </row>
    <row r="17" spans="1:10" ht="20.100000000000001" customHeight="1" x14ac:dyDescent="0.25">
      <c r="A17" s="5" t="str">
        <f>HYPERLINK("#'Input - Fertiliser'!A1", "Fertiliser")</f>
        <v>Fertiliser</v>
      </c>
      <c r="C17" s="1"/>
      <c r="D17" s="33"/>
      <c r="E17" s="13"/>
      <c r="F17" s="75"/>
    </row>
    <row r="18" spans="1:10" ht="20.100000000000001" customHeight="1" x14ac:dyDescent="0.25">
      <c r="A18" s="5" t="str">
        <f>HYPERLINK("#'Input - Fuel'!A1", "Fuel")</f>
        <v>Fuel</v>
      </c>
      <c r="C18" s="1"/>
    </row>
    <row r="19" spans="1:10" ht="20.100000000000001" customHeight="1" x14ac:dyDescent="0.25">
      <c r="A19" s="5" t="str">
        <f>HYPERLINK("#'Input - Electricity'!A1", "Electricity")</f>
        <v>Electricity</v>
      </c>
    </row>
    <row r="20" spans="1:10" ht="20.100000000000001" customHeight="1" x14ac:dyDescent="0.25">
      <c r="A20" s="99" t="str">
        <f>HYPERLINK("#'Input - Common farm inputs'!A1", "Common farm inputs")</f>
        <v>Common farm inputs</v>
      </c>
      <c r="D20" s="2" t="s">
        <v>1112</v>
      </c>
    </row>
    <row r="21" spans="1:10" ht="20.100000000000001" customHeight="1" x14ac:dyDescent="0.25">
      <c r="A21" s="5" t="str">
        <f>HYPERLINK("#'Input - Crop pasture farm input'!A1", "Crop pasture farm input")</f>
        <v>Crop pasture farm input</v>
      </c>
      <c r="D21" s="25"/>
      <c r="I21" s="24"/>
      <c r="J21" s="24"/>
    </row>
    <row r="22" spans="1:10" ht="20.100000000000001" customHeight="1" x14ac:dyDescent="0.25">
      <c r="A22" s="5" t="str">
        <f>HYPERLINK("#'Input - Livestock farm Inputs'!A1", "Livestock farm Inputs")</f>
        <v>Livestock farm Inputs</v>
      </c>
      <c r="D22" s="258" t="s">
        <v>1113</v>
      </c>
      <c r="E22" s="258" t="s">
        <v>1114</v>
      </c>
      <c r="F22" s="258" t="s">
        <v>1115</v>
      </c>
      <c r="G22" s="258" t="s">
        <v>877</v>
      </c>
    </row>
    <row r="23" spans="1:10" ht="20.100000000000001" customHeight="1" x14ac:dyDescent="0.25">
      <c r="A23" s="5" t="str">
        <f>HYPERLINK("#'Input - Freight'!A1", "Freight")</f>
        <v>Freight</v>
      </c>
      <c r="D23" s="33" t="s">
        <v>1116</v>
      </c>
      <c r="E23" s="33" t="s">
        <v>1117</v>
      </c>
      <c r="F23" s="75">
        <v>10000</v>
      </c>
      <c r="G23" s="13" t="s">
        <v>1118</v>
      </c>
    </row>
    <row r="24" spans="1:10" ht="20.100000000000001" customHeight="1" x14ac:dyDescent="0.25">
      <c r="A24" s="5" t="str">
        <f>HYPERLINK("#'Input - Solid waste'!A1", "Solid waste")</f>
        <v>Solid waste</v>
      </c>
      <c r="D24" s="33" t="s">
        <v>1119</v>
      </c>
      <c r="E24" s="33" t="s">
        <v>1120</v>
      </c>
      <c r="F24" s="75">
        <v>1000</v>
      </c>
      <c r="G24" s="13" t="s">
        <v>1121</v>
      </c>
    </row>
    <row r="25" spans="1:10" ht="20.100000000000001" customHeight="1" x14ac:dyDescent="0.25">
      <c r="A25" s="5" t="str">
        <f>HYPERLINK("#'Input - Manure sent off-site'!A1", "Manure sent off-site")</f>
        <v>Manure sent off-site</v>
      </c>
      <c r="C25" s="1"/>
      <c r="D25" s="33"/>
      <c r="E25" s="33"/>
      <c r="F25" s="75"/>
      <c r="G25" s="13"/>
    </row>
    <row r="26" spans="1:10" ht="20.100000000000001" customHeight="1" x14ac:dyDescent="0.25">
      <c r="A26" s="5" t="str">
        <f>HYPERLINK("#'Input - Data quality'!A1", "Data quality")</f>
        <v>Data quality</v>
      </c>
      <c r="C26" s="1"/>
      <c r="D26" s="33"/>
      <c r="E26" s="33"/>
      <c r="F26" s="75"/>
      <c r="G26" s="13"/>
    </row>
    <row r="27" spans="1:10" ht="20.100000000000001" customHeight="1" x14ac:dyDescent="0.25">
      <c r="A27"/>
      <c r="C27" s="1"/>
      <c r="D27" s="33"/>
      <c r="E27" s="33"/>
      <c r="F27" s="75"/>
      <c r="G27" s="13"/>
    </row>
    <row r="28" spans="1:10" ht="20.100000000000001" customHeight="1" x14ac:dyDescent="0.25">
      <c r="A28"/>
      <c r="D28" s="33"/>
      <c r="E28" s="33"/>
      <c r="F28" s="75"/>
      <c r="G28" s="13"/>
    </row>
    <row r="29" spans="1:10" ht="20.100000000000001" customHeight="1" x14ac:dyDescent="0.25">
      <c r="A29" s="6" t="s">
        <v>2</v>
      </c>
      <c r="D29" s="33"/>
      <c r="E29" s="33"/>
      <c r="F29" s="75"/>
      <c r="G29" s="13"/>
    </row>
    <row r="30" spans="1:10" ht="20.100000000000001" customHeight="1" x14ac:dyDescent="0.25">
      <c r="A30" s="5" t="str">
        <f>HYPERLINK("#'3.3.1.1-2 Enteric Methane'!A1", "3.3.1.1-2 Enteric methane")</f>
        <v>3.3.1.1-2 Enteric methane</v>
      </c>
      <c r="D30" s="33"/>
      <c r="E30" s="33"/>
      <c r="F30" s="75"/>
      <c r="G30" s="13"/>
    </row>
    <row r="31" spans="1:10" ht="20.100000000000001" customHeight="1" x14ac:dyDescent="0.25">
      <c r="A31" s="5" t="str">
        <f>HYPERLINK("#'4.3.1.1-2 Methane'!A1", "4.3.1.1-2 Manure methane")</f>
        <v>4.3.1.1-2 Manure methane</v>
      </c>
      <c r="D31" s="33"/>
      <c r="E31" s="33"/>
      <c r="F31" s="75"/>
      <c r="G31" s="13"/>
    </row>
    <row r="32" spans="1:10" ht="20.100000000000001" customHeight="1" x14ac:dyDescent="0.25">
      <c r="A32" s="5" t="str">
        <f>HYPERLINK("#'4.3.1.3-4 Direct N20'!A1", "4.3.1.3-4 Direct N20")</f>
        <v>4.3.1.3-4 Direct N20</v>
      </c>
      <c r="D32" s="33"/>
      <c r="E32" s="33"/>
      <c r="F32" s="75"/>
      <c r="G32" s="13"/>
    </row>
    <row r="33" spans="1:6" ht="20.100000000000001" customHeight="1" x14ac:dyDescent="0.25">
      <c r="A33" s="5" t="str">
        <f>HYPERLINK("#'4.3.1.5 Atmos deposition'!A1", "4.3.1.5 Atmos deposition")</f>
        <v>4.3.1.5 Atmos deposition</v>
      </c>
    </row>
    <row r="34" spans="1:6" ht="20.100000000000001" customHeight="1" x14ac:dyDescent="0.25">
      <c r="A34" s="5" t="str">
        <f>HYPERLINK("#'4.3.1.6-7 Leaching and runoff'!A1", "4.3.1.6-7 Leaching &amp; runoff")</f>
        <v>4.3.1.6-7 Leaching &amp; runoff</v>
      </c>
    </row>
    <row r="35" spans="1:6" ht="20.100000000000001" customHeight="1" x14ac:dyDescent="0.25">
      <c r="A35" s="5" t="str">
        <f>HYPERLINK("#'4.3.1.8 Manure applied to soils'!A1", "4.3.1.8 Manure applied to soils")</f>
        <v>4.3.1.8 Manure applied to soils</v>
      </c>
      <c r="D35" s="2" t="s">
        <v>1122</v>
      </c>
    </row>
    <row r="36" spans="1:6" ht="20.100000000000001" customHeight="1" x14ac:dyDescent="0.25">
      <c r="A36" s="5" t="str">
        <f>HYPERLINK("#'4.3.1.9 Soil direct N2O'!A1", "4.3.1.9 Soil direct N2O")</f>
        <v>4.3.1.9 Soil direct N2O</v>
      </c>
      <c r="D36" s="25"/>
    </row>
    <row r="37" spans="1:6" ht="20.100000000000001" customHeight="1" x14ac:dyDescent="0.25">
      <c r="A37" s="5" t="str">
        <f>HYPERLINK("#'4.3.1.10-11 Soil Atmos Dep'!A1", "4.3.1.10-11 Soil Atmos Deposition")</f>
        <v>4.3.1.10-11 Soil Atmos Deposition</v>
      </c>
      <c r="D37" s="81" t="s">
        <v>1123</v>
      </c>
      <c r="E37" s="81" t="s">
        <v>968</v>
      </c>
      <c r="F37" s="81" t="s">
        <v>877</v>
      </c>
    </row>
    <row r="38" spans="1:6" ht="20.100000000000001" customHeight="1" x14ac:dyDescent="0.25">
      <c r="A38" s="5" t="str">
        <f>HYPERLINK("#'4.3.1.12-13 Soil leach runoff'!A1", "4.3.1.12-13 Soil leach &amp; runoff")</f>
        <v>4.3.1.12-13 Soil leach &amp; runoff</v>
      </c>
      <c r="D38" s="33" t="s">
        <v>1124</v>
      </c>
      <c r="E38" s="75">
        <v>1000</v>
      </c>
      <c r="F38" s="33" t="s">
        <v>704</v>
      </c>
    </row>
    <row r="39" spans="1:6" ht="20.100000000000001" customHeight="1" x14ac:dyDescent="0.25">
      <c r="A39" s="5" t="str">
        <f>HYPERLINK("#'5.1.1.1-2 Inorganic fert N2O'!A1", "5.1.1.1-2 Inorganic fert N2O")</f>
        <v>5.1.1.1-2 Inorganic fert N2O</v>
      </c>
      <c r="D39" s="33"/>
      <c r="E39" s="75"/>
      <c r="F39" s="33"/>
    </row>
    <row r="40" spans="1:6" ht="20.100000000000001" customHeight="1" x14ac:dyDescent="0.25">
      <c r="A40" s="5" t="str">
        <f>HYPERLINK("#'5.1.1.3-4 Inorganic fert CO2'!A1", "5.1.1.3-4 Inorganic fert CO2")</f>
        <v>5.1.1.3-4 Inorganic fert CO2</v>
      </c>
      <c r="D40" s="33"/>
      <c r="E40" s="75"/>
      <c r="F40" s="33"/>
    </row>
    <row r="41" spans="1:6" ht="20.100000000000001" customHeight="1" x14ac:dyDescent="0.25">
      <c r="A41" s="5" t="str">
        <f>HYPERLINK("#'5.2.1.1-2 Organic Fert N2O'!A1", "5.2.1.1-2 Organic fert N2O")</f>
        <v>5.2.1.1-2 Organic fert N2O</v>
      </c>
      <c r="D41" s="33"/>
      <c r="E41" s="75"/>
      <c r="F41" s="33"/>
    </row>
    <row r="42" spans="1:6" ht="20.100000000000001" customHeight="1" x14ac:dyDescent="0.25">
      <c r="A42" s="5" t="str">
        <f>HYPERLINK("#'5.3.1.1-2 Lime CO2'!A1", "5.3.1.1-2 Lime CO2")</f>
        <v>5.3.1.1-2 Lime CO2</v>
      </c>
      <c r="D42" s="33"/>
      <c r="E42" s="75"/>
      <c r="F42" s="33"/>
    </row>
    <row r="43" spans="1:6" ht="20.100000000000001" customHeight="1" x14ac:dyDescent="0.25">
      <c r="A43" s="5" t="str">
        <f>HYPERLINK("#'5.4.1.1-4 Atmos deposition'!A1", "5.4.1.1-4 Atmos. deposition")</f>
        <v>5.4.1.1-4 Atmos. deposition</v>
      </c>
      <c r="D43" s="33"/>
      <c r="E43" s="75"/>
      <c r="F43" s="33"/>
    </row>
    <row r="44" spans="1:6" ht="20.100000000000001" customHeight="1" x14ac:dyDescent="0.25">
      <c r="A44" s="5" t="str">
        <f>HYPERLINK("#'5.5.1.1-2 Leaching and runoff'!A1", "5.5.1.1-2 Leaching &amp; runoff")</f>
        <v>5.5.1.1-2 Leaching &amp; runoff</v>
      </c>
      <c r="C44" s="1"/>
      <c r="D44" s="33"/>
      <c r="E44" s="75"/>
      <c r="F44" s="33"/>
    </row>
    <row r="45" spans="1:6" ht="20.100000000000001" customHeight="1" x14ac:dyDescent="0.25">
      <c r="A45" s="5" t="str">
        <f>HYPERLINK("#'6.2.1.1-2 Pasture residue N2O'!A1", "6.2.1.1-2 Pasture residue N2O")</f>
        <v>6.2.1.1-2 Pasture residue N2O</v>
      </c>
      <c r="C45" s="1"/>
      <c r="D45" s="33"/>
      <c r="E45" s="75"/>
      <c r="F45" s="33"/>
    </row>
    <row r="46" spans="1:6" ht="20.100000000000001" customHeight="1" x14ac:dyDescent="0.25">
      <c r="A46" s="5" t="str">
        <f>HYPERLINK("#'6.3.1.1-2 Leach runoff pasture'!A1", "6.3.1.1-2 Leach &amp; runoff (pasture)")</f>
        <v>6.3.1.1-2 Leach &amp; runoff (pasture)</v>
      </c>
      <c r="C46" s="1"/>
      <c r="D46" s="33"/>
      <c r="E46" s="75"/>
      <c r="F46" s="33"/>
    </row>
    <row r="47" spans="1:6" ht="20.100000000000001" customHeight="1" x14ac:dyDescent="0.25">
      <c r="A47" s="5" t="str">
        <f>HYPERLINK("#'8.1.1.1-2 Transport fuel'!A1", "8.1.1.1-2 Transport fuel")</f>
        <v>8.1.1.1-2 Transport fuel</v>
      </c>
      <c r="C47" s="1"/>
      <c r="D47" s="33"/>
      <c r="E47" s="75"/>
      <c r="F47" s="33"/>
    </row>
    <row r="48" spans="1:6" ht="20.100000000000001" customHeight="1" x14ac:dyDescent="0.25">
      <c r="A48" s="5" t="str">
        <f>HYPERLINK("#'8.2.1.1-2 Stationary fuel'!A1", "8.2.1.1-2 Stationary fuel")</f>
        <v>8.2.1.1-2 Stationary fuel</v>
      </c>
      <c r="C48" s="1"/>
    </row>
    <row r="49" spans="1:3" ht="20.100000000000001" customHeight="1" x14ac:dyDescent="0.25">
      <c r="A49" s="5" t="str">
        <f>HYPERLINK("#'10.1.1-2 Solid waste treatment'!A1", "10.1.1.1-2 Solid waste")</f>
        <v>10.1.1.1-2 Solid waste</v>
      </c>
      <c r="C49" s="1"/>
    </row>
    <row r="50" spans="1:3" ht="20.100000000000001" customHeight="1" x14ac:dyDescent="0.25">
      <c r="A50" s="5" t="str">
        <f>HYPERLINK("#'14.1.1-2 Purchased electricity'!A1", "14.1.1-2 Purchased electricity")</f>
        <v>14.1.1-2 Purchased electricity</v>
      </c>
    </row>
    <row r="51" spans="1:3" ht="20.100000000000001" customHeight="1" x14ac:dyDescent="0.25">
      <c r="A51" s="5" t="str">
        <f>HYPERLINK("#'15 Scope 3'!A1", "15 Scope 3")</f>
        <v>15 Scope 3</v>
      </c>
    </row>
    <row r="52" spans="1:3" ht="20.100000000000001" customHeight="1" x14ac:dyDescent="0.25">
      <c r="A52" s="5" t="str">
        <f>HYPERLINK("#'Calcs - Manure sent off-site'!A1", "Calcs - Manure sent off-site")</f>
        <v>Calcs - Manure sent off-site</v>
      </c>
    </row>
    <row r="53" spans="1:3" ht="20.100000000000001" customHeight="1" x14ac:dyDescent="0.25">
      <c r="A53"/>
    </row>
    <row r="54" spans="1:3" ht="20.100000000000001" customHeight="1" x14ac:dyDescent="0.25">
      <c r="A54"/>
    </row>
    <row r="55" spans="1:3" ht="20.100000000000001" customHeight="1" x14ac:dyDescent="0.25">
      <c r="A55" s="83" t="s">
        <v>1</v>
      </c>
    </row>
    <row r="56" spans="1:3" ht="20.100000000000001" customHeight="1" x14ac:dyDescent="0.25">
      <c r="A56" s="5" t="str">
        <f>HYPERLINK("#'Constants - Dairy'!A1", "Constants - Dairy")</f>
        <v>Constants - Dairy</v>
      </c>
    </row>
    <row r="57" spans="1:3" ht="20.100000000000001" customHeight="1" x14ac:dyDescent="0.25">
      <c r="A57" s="5" t="str">
        <f>HYPERLINK("#'Constants - Ag Residue'!A1", "Constants - Ag residue")</f>
        <v>Constants - Ag residue</v>
      </c>
    </row>
    <row r="58" spans="1:3" ht="20.100000000000001" customHeight="1" x14ac:dyDescent="0.25">
      <c r="A58" s="5" t="str">
        <f>HYPERLINK("#'Constants - Common Livestock'!A1", "Constants - Common Livestock")</f>
        <v>Constants - Common Livestock</v>
      </c>
    </row>
    <row r="59" spans="1:3" ht="20.100000000000001" customHeight="1" x14ac:dyDescent="0.25">
      <c r="A59" s="5" t="str">
        <f>HYPERLINK("#'Constants - Electricity'!A1", "Constants - Electricity")</f>
        <v>Constants - Electricity</v>
      </c>
    </row>
    <row r="60" spans="1:3" ht="20.100000000000001" customHeight="1" x14ac:dyDescent="0.25">
      <c r="A60" s="5" t="str">
        <f>HYPERLINK("#'Constants - Fertiliser'!A1", "Constants - Fertiliser")</f>
        <v>Constants - Fertiliser</v>
      </c>
    </row>
    <row r="61" spans="1:3" ht="20.100000000000001" customHeight="1" x14ac:dyDescent="0.25">
      <c r="A61" s="5" t="str">
        <f>HYPERLINK("#'Constants - Fuel'!A1", "Constants - Fuel")</f>
        <v>Constants - Fuel</v>
      </c>
    </row>
    <row r="62" spans="1:3" ht="20.100000000000001" customHeight="1" x14ac:dyDescent="0.25">
      <c r="A62" s="5" t="str">
        <f>HYPERLINK("#'Constants - Scope 3'!A1", "Constants - Scope 3")</f>
        <v>Constants - Scope 3</v>
      </c>
    </row>
    <row r="63" spans="1:3" ht="20.100000000000001" customHeight="1" x14ac:dyDescent="0.25">
      <c r="A63" s="5" t="str">
        <f>HYPERLINK("#'Constants - Common'!A1", "Constants - Common")</f>
        <v>Constants - Common</v>
      </c>
    </row>
    <row r="64" spans="1:3" ht="20.100000000000001" customHeight="1" x14ac:dyDescent="0.25">
      <c r="A64" s="5" t="str">
        <f>HYPERLINK("#'Constants - Solid Waste'!A1", "Constants - Solid Waste")</f>
        <v>Constants - Solid Waste</v>
      </c>
    </row>
    <row r="65" spans="1:11" ht="20.100000000000001" customHeight="1" x14ac:dyDescent="0.25">
      <c r="A65" s="5" t="str">
        <f>HYPERLINK("#'Acknowledgements'!A1", "Acknowledgements")</f>
        <v>Acknowledgements</v>
      </c>
    </row>
    <row r="66" spans="1:11" ht="20.100000000000001" customHeight="1" x14ac:dyDescent="0.25">
      <c r="A66"/>
    </row>
    <row r="67" spans="1:11" ht="20.100000000000001" customHeight="1" x14ac:dyDescent="0.25">
      <c r="A67"/>
    </row>
    <row r="68" spans="1:11" ht="20.100000000000001" customHeight="1" x14ac:dyDescent="0.25">
      <c r="A68"/>
    </row>
    <row r="69" spans="1:11" ht="20.100000000000001" customHeight="1" x14ac:dyDescent="0.25">
      <c r="A69"/>
    </row>
    <row r="70" spans="1:11" ht="20.100000000000001" customHeight="1" x14ac:dyDescent="0.25">
      <c r="A70"/>
    </row>
    <row r="71" spans="1:11" ht="20.100000000000001" customHeight="1" x14ac:dyDescent="0.25">
      <c r="A71"/>
    </row>
    <row r="72" spans="1:11" ht="20.100000000000001" customHeight="1" x14ac:dyDescent="0.25">
      <c r="A72"/>
    </row>
    <row r="73" spans="1:11" ht="20.100000000000001" customHeight="1" x14ac:dyDescent="0.25">
      <c r="A73"/>
    </row>
    <row r="74" spans="1:11" ht="20.100000000000001" customHeight="1" x14ac:dyDescent="0.25">
      <c r="A74"/>
      <c r="K74" s="255"/>
    </row>
    <row r="75" spans="1:11" ht="20.100000000000001" customHeight="1" x14ac:dyDescent="0.25">
      <c r="A75"/>
    </row>
    <row r="76" spans="1:11" ht="20.100000000000001" customHeight="1" x14ac:dyDescent="0.25">
      <c r="A76"/>
    </row>
    <row r="77" spans="1:11" ht="20.100000000000001" customHeight="1" x14ac:dyDescent="0.25">
      <c r="A77"/>
    </row>
    <row r="78" spans="1:11" ht="20.100000000000001" customHeight="1" x14ac:dyDescent="0.25">
      <c r="A78"/>
    </row>
    <row r="79" spans="1:11" ht="20.100000000000001" customHeight="1" x14ac:dyDescent="0.25">
      <c r="A79"/>
    </row>
    <row r="80" spans="1:11" ht="20.100000000000001" customHeight="1" x14ac:dyDescent="0.25">
      <c r="A80"/>
    </row>
    <row r="81" spans="1:10" ht="20.100000000000001" customHeight="1" x14ac:dyDescent="0.25">
      <c r="A81"/>
    </row>
    <row r="82" spans="1:10" ht="20.100000000000001" customHeight="1" x14ac:dyDescent="0.25">
      <c r="A82"/>
    </row>
    <row r="83" spans="1:10" ht="20.100000000000001" customHeight="1" x14ac:dyDescent="0.25">
      <c r="A83"/>
    </row>
    <row r="84" spans="1:10" ht="20.100000000000001" customHeight="1" x14ac:dyDescent="0.25">
      <c r="A84"/>
    </row>
    <row r="85" spans="1:10" ht="20.100000000000001" customHeight="1" x14ac:dyDescent="0.25">
      <c r="A85"/>
    </row>
    <row r="86" spans="1:10" ht="20.100000000000001" customHeight="1" x14ac:dyDescent="0.25">
      <c r="A86"/>
    </row>
    <row r="87" spans="1:10" ht="20.100000000000001" customHeight="1" x14ac:dyDescent="0.25">
      <c r="A87"/>
    </row>
    <row r="88" spans="1:10" ht="20.100000000000001" customHeight="1" x14ac:dyDescent="0.25">
      <c r="A88"/>
    </row>
    <row r="89" spans="1:10" ht="20.100000000000001" customHeight="1" x14ac:dyDescent="0.25">
      <c r="A89"/>
    </row>
    <row r="90" spans="1:10" ht="20.100000000000001" customHeight="1" x14ac:dyDescent="0.25">
      <c r="A90"/>
    </row>
    <row r="91" spans="1:10" ht="20.100000000000001" customHeight="1" x14ac:dyDescent="0.25">
      <c r="A91"/>
    </row>
    <row r="92" spans="1:10" ht="20.100000000000001" customHeight="1" x14ac:dyDescent="0.25">
      <c r="A92"/>
      <c r="J92" s="24"/>
    </row>
    <row r="93" spans="1:10" ht="20.100000000000001" customHeight="1" x14ac:dyDescent="0.25">
      <c r="A93"/>
      <c r="J93" s="24"/>
    </row>
    <row r="94" spans="1:10" ht="20.100000000000001" customHeight="1" x14ac:dyDescent="0.25">
      <c r="A94"/>
      <c r="J94" s="24"/>
    </row>
    <row r="95" spans="1:10" ht="20.100000000000001" customHeight="1" x14ac:dyDescent="0.25">
      <c r="A95"/>
      <c r="J95" s="24"/>
    </row>
    <row r="96" spans="1:10" ht="20.100000000000001" customHeight="1" x14ac:dyDescent="0.25">
      <c r="A96"/>
      <c r="J96" s="24"/>
    </row>
    <row r="97" spans="1:10" ht="20.100000000000001" customHeight="1" x14ac:dyDescent="0.25">
      <c r="A97"/>
      <c r="J97" s="2"/>
    </row>
    <row r="98" spans="1:10" ht="20.100000000000001" customHeight="1" x14ac:dyDescent="0.25">
      <c r="A98"/>
      <c r="J98" s="1"/>
    </row>
    <row r="99" spans="1:10" ht="20.100000000000001" customHeight="1" x14ac:dyDescent="0.25">
      <c r="A99"/>
      <c r="J99" s="1"/>
    </row>
    <row r="100" spans="1:10" ht="20.100000000000001" customHeight="1" x14ac:dyDescent="0.25">
      <c r="A100"/>
      <c r="J100" s="1"/>
    </row>
    <row r="101" spans="1:10" ht="20.100000000000001" customHeight="1" x14ac:dyDescent="0.25">
      <c r="A101"/>
      <c r="J101" s="1"/>
    </row>
    <row r="102" spans="1:10" ht="20.100000000000001" customHeight="1" x14ac:dyDescent="0.25">
      <c r="A102"/>
      <c r="J102" s="1"/>
    </row>
    <row r="103" spans="1:10" ht="20.100000000000001" customHeight="1" x14ac:dyDescent="0.25">
      <c r="A103"/>
    </row>
    <row r="104" spans="1:10" ht="20.100000000000001" customHeight="1" x14ac:dyDescent="0.25">
      <c r="A104"/>
    </row>
    <row r="105" spans="1:10" ht="20.100000000000001" customHeight="1" x14ac:dyDescent="0.25">
      <c r="A105"/>
    </row>
    <row r="106" spans="1:10" ht="20.100000000000001" customHeight="1" x14ac:dyDescent="0.25">
      <c r="A106"/>
    </row>
    <row r="107" spans="1:10" ht="20.100000000000001" customHeight="1" x14ac:dyDescent="0.25">
      <c r="A107"/>
      <c r="J107" s="1"/>
    </row>
    <row r="108" spans="1:10" ht="20.100000000000001" customHeight="1" x14ac:dyDescent="0.25">
      <c r="A108"/>
      <c r="J108" s="1"/>
    </row>
    <row r="109" spans="1:10" ht="20.100000000000001" customHeight="1" x14ac:dyDescent="0.25">
      <c r="A109"/>
      <c r="J109" s="1"/>
    </row>
    <row r="110" spans="1:10" ht="20.100000000000001" customHeight="1" x14ac:dyDescent="0.25">
      <c r="A110"/>
      <c r="J110" s="1"/>
    </row>
    <row r="111" spans="1:10" ht="20.100000000000001" customHeight="1" x14ac:dyDescent="0.25">
      <c r="A111"/>
      <c r="J111" s="1"/>
    </row>
    <row r="112" spans="1:10" ht="20.100000000000001" customHeight="1" x14ac:dyDescent="0.25">
      <c r="A112"/>
      <c r="J112" s="1"/>
    </row>
    <row r="113" spans="1:16" ht="20.100000000000001" customHeight="1" x14ac:dyDescent="0.25">
      <c r="A113"/>
      <c r="J113" s="1"/>
      <c r="L113" s="24"/>
      <c r="M113" s="24"/>
      <c r="N113" s="24"/>
      <c r="O113" s="24"/>
      <c r="P113" s="24"/>
    </row>
    <row r="114" spans="1:16" ht="20.100000000000001" customHeight="1" x14ac:dyDescent="0.25">
      <c r="A114"/>
      <c r="J114" s="1"/>
      <c r="L114" s="24"/>
      <c r="M114" s="24"/>
      <c r="N114" s="24"/>
      <c r="O114" s="24"/>
      <c r="P114" s="24"/>
    </row>
    <row r="115" spans="1:16" ht="20.100000000000001" customHeight="1" x14ac:dyDescent="0.25">
      <c r="A115"/>
      <c r="J115" s="1"/>
      <c r="L115" s="24"/>
      <c r="M115" s="24"/>
      <c r="N115" s="24"/>
      <c r="O115" s="24"/>
      <c r="P115" s="24"/>
    </row>
    <row r="116" spans="1:16" ht="20.100000000000001" customHeight="1" x14ac:dyDescent="0.25">
      <c r="A116"/>
      <c r="I116" s="24"/>
      <c r="J116" s="1"/>
      <c r="N116" s="24"/>
      <c r="O116" s="24"/>
      <c r="P116" s="24"/>
    </row>
    <row r="117" spans="1:16" ht="20.100000000000001" customHeight="1" x14ac:dyDescent="0.25">
      <c r="A117"/>
      <c r="I117" s="24"/>
      <c r="J117" s="1"/>
      <c r="N117" s="24"/>
      <c r="O117" s="24"/>
      <c r="P117" s="24"/>
    </row>
    <row r="118" spans="1:16" ht="20.100000000000001" customHeight="1" x14ac:dyDescent="0.25">
      <c r="A118"/>
      <c r="J118" s="24"/>
      <c r="N118" s="2"/>
      <c r="O118" s="2"/>
      <c r="P118" s="24"/>
    </row>
    <row r="119" spans="1:16" ht="20.100000000000001" customHeight="1" x14ac:dyDescent="0.25">
      <c r="A119"/>
      <c r="J119" s="24"/>
      <c r="P119" s="259"/>
    </row>
    <row r="120" spans="1:16" ht="20.100000000000001" customHeight="1" x14ac:dyDescent="0.25">
      <c r="A120"/>
      <c r="J120" s="24"/>
      <c r="P120" s="259"/>
    </row>
    <row r="121" spans="1:16" ht="20.100000000000001" customHeight="1" x14ac:dyDescent="0.25">
      <c r="A121"/>
      <c r="J121" s="2"/>
      <c r="P121" s="259"/>
    </row>
    <row r="122" spans="1:16" ht="20.100000000000001" customHeight="1" x14ac:dyDescent="0.25">
      <c r="A122"/>
      <c r="G122" s="24"/>
      <c r="H122" s="1"/>
      <c r="J122" s="1"/>
      <c r="P122" s="259"/>
    </row>
    <row r="123" spans="1:16" ht="20.100000000000001" customHeight="1" x14ac:dyDescent="0.25">
      <c r="A123"/>
      <c r="G123" s="24"/>
      <c r="H123" s="1"/>
      <c r="J123" s="1"/>
      <c r="P123" s="259"/>
    </row>
    <row r="124" spans="1:16" ht="20.100000000000001" customHeight="1" x14ac:dyDescent="0.25">
      <c r="A124"/>
      <c r="G124" s="24"/>
      <c r="H124" s="24"/>
      <c r="J124" s="1"/>
      <c r="N124" s="24"/>
      <c r="O124" s="24"/>
      <c r="P124" s="24"/>
    </row>
    <row r="125" spans="1:16" ht="20.100000000000001" customHeight="1" x14ac:dyDescent="0.25">
      <c r="A125"/>
      <c r="G125" s="24"/>
      <c r="H125" s="24"/>
      <c r="I125" s="24"/>
      <c r="J125" s="1"/>
      <c r="N125" s="24"/>
      <c r="O125" s="24"/>
      <c r="P125" s="24"/>
    </row>
    <row r="126" spans="1:16" ht="20.100000000000001" customHeight="1" x14ac:dyDescent="0.25">
      <c r="A126"/>
      <c r="G126" s="24"/>
      <c r="I126" s="24"/>
      <c r="J126" s="1"/>
    </row>
    <row r="127" spans="1:16" ht="20.100000000000001" customHeight="1" x14ac:dyDescent="0.25">
      <c r="A127"/>
      <c r="I127" s="24"/>
      <c r="J127" s="24"/>
    </row>
    <row r="128" spans="1:16" ht="20.100000000000001" customHeight="1" x14ac:dyDescent="0.25">
      <c r="A128"/>
      <c r="I128" s="24"/>
      <c r="J128" s="24"/>
    </row>
    <row r="129" spans="1:13" ht="20.100000000000001" customHeight="1" x14ac:dyDescent="0.25">
      <c r="A129"/>
      <c r="I129" s="24"/>
      <c r="L129" s="24"/>
      <c r="M129" s="24"/>
    </row>
    <row r="130" spans="1:13" ht="20.100000000000001" customHeight="1" x14ac:dyDescent="0.25">
      <c r="A130"/>
      <c r="I130" s="24"/>
      <c r="L130" s="24"/>
      <c r="M130" s="24"/>
    </row>
    <row r="131" spans="1:13" ht="20.100000000000001" customHeight="1" x14ac:dyDescent="0.25">
      <c r="A131"/>
      <c r="G131" s="1"/>
      <c r="I131" s="1"/>
      <c r="L131" s="2"/>
      <c r="M131" s="2"/>
    </row>
    <row r="132" spans="1:13" ht="20.100000000000001" customHeight="1" x14ac:dyDescent="0.25">
      <c r="A132"/>
      <c r="G132" s="24"/>
      <c r="I132" s="1"/>
    </row>
    <row r="133" spans="1:13" ht="20.100000000000001" customHeight="1" x14ac:dyDescent="0.25">
      <c r="A133"/>
      <c r="G133" s="24"/>
      <c r="I133" s="1"/>
    </row>
    <row r="134" spans="1:13" ht="20.100000000000001" customHeight="1" x14ac:dyDescent="0.25">
      <c r="A134"/>
      <c r="I134" s="1"/>
    </row>
    <row r="135" spans="1:13" ht="20.100000000000001" customHeight="1" x14ac:dyDescent="0.25">
      <c r="A135"/>
      <c r="I135" s="1"/>
    </row>
    <row r="136" spans="1:13" ht="20.100000000000001" customHeight="1" x14ac:dyDescent="0.25">
      <c r="A136"/>
      <c r="I136" s="24"/>
    </row>
    <row r="137" spans="1:13" ht="20.100000000000001" customHeight="1" x14ac:dyDescent="0.25">
      <c r="A137"/>
      <c r="I137" s="24"/>
      <c r="L137" s="24"/>
      <c r="M137" s="24"/>
    </row>
    <row r="138" spans="1:13" ht="20.100000000000001" customHeight="1" x14ac:dyDescent="0.25">
      <c r="A138"/>
      <c r="L138" s="24"/>
      <c r="M138" s="24"/>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97"/>
    </row>
    <row r="166" spans="11:19" ht="20.100000000000001" customHeight="1" x14ac:dyDescent="0.25">
      <c r="S166" s="97"/>
    </row>
    <row r="167" spans="11:19" ht="20.100000000000001" customHeight="1" x14ac:dyDescent="0.25">
      <c r="S167" s="97"/>
    </row>
    <row r="168" spans="11:19" ht="20.100000000000001" customHeight="1" x14ac:dyDescent="0.25">
      <c r="S168" s="97"/>
    </row>
    <row r="169" spans="11:19" ht="20.100000000000001" customHeight="1" x14ac:dyDescent="0.25">
      <c r="S169" s="97"/>
    </row>
    <row r="170" spans="11:19" ht="20.100000000000001" customHeight="1" x14ac:dyDescent="0.25">
      <c r="S170" s="97"/>
    </row>
    <row r="171" spans="11:19" ht="20.100000000000001" customHeight="1" x14ac:dyDescent="0.25">
      <c r="S171" s="97"/>
    </row>
    <row r="172" spans="11:19" ht="20.100000000000001" customHeight="1" x14ac:dyDescent="0.25">
      <c r="S172" s="97"/>
    </row>
    <row r="173" spans="11:19" ht="20.100000000000001" customHeight="1" x14ac:dyDescent="0.25">
      <c r="S173" s="97"/>
    </row>
    <row r="174" spans="11:19" ht="20.100000000000001" customHeight="1" x14ac:dyDescent="0.25">
      <c r="S174" s="97"/>
    </row>
    <row r="175" spans="11:19" ht="20.100000000000001" customHeight="1" x14ac:dyDescent="0.25">
      <c r="S175" s="97"/>
    </row>
    <row r="176" spans="11:19" ht="20.100000000000001" customHeight="1" x14ac:dyDescent="0.25">
      <c r="K176" s="24"/>
    </row>
    <row r="177" spans="11:19" ht="20.100000000000001" customHeight="1" x14ac:dyDescent="0.25">
      <c r="K177" s="24"/>
    </row>
    <row r="178" spans="11:19" ht="20.100000000000001" customHeight="1" x14ac:dyDescent="0.25"/>
    <row r="179" spans="11:19" ht="20.100000000000001" customHeight="1" x14ac:dyDescent="0.25"/>
    <row r="180" spans="11:19" ht="20.100000000000001" customHeight="1" x14ac:dyDescent="0.25">
      <c r="S180" s="97"/>
    </row>
    <row r="181" spans="11:19" ht="20.100000000000001" customHeight="1" x14ac:dyDescent="0.25">
      <c r="S181" s="97"/>
    </row>
    <row r="182" spans="11:19" ht="20.100000000000001" customHeight="1" x14ac:dyDescent="0.25">
      <c r="S182" s="97"/>
    </row>
    <row r="183" spans="11:19" ht="20.100000000000001" customHeight="1" x14ac:dyDescent="0.25">
      <c r="S183" s="97"/>
    </row>
    <row r="184" spans="11:19" ht="20.100000000000001" customHeight="1" x14ac:dyDescent="0.25">
      <c r="S184" s="97"/>
    </row>
    <row r="185" spans="11:19" ht="20.100000000000001" customHeight="1" x14ac:dyDescent="0.25">
      <c r="S185" s="97"/>
    </row>
    <row r="186" spans="11:19" ht="20.100000000000001" customHeight="1" x14ac:dyDescent="0.25">
      <c r="S186" s="97"/>
    </row>
    <row r="187" spans="11:19" ht="20.100000000000001" customHeight="1" x14ac:dyDescent="0.25">
      <c r="S187" s="97"/>
    </row>
    <row r="188" spans="11:19" ht="20.100000000000001" customHeight="1" x14ac:dyDescent="0.25">
      <c r="S188" s="97"/>
    </row>
    <row r="189" spans="11:19" ht="20.100000000000001" customHeight="1" x14ac:dyDescent="0.25">
      <c r="S189" s="97"/>
    </row>
    <row r="190" spans="11:19" ht="20.100000000000001" customHeight="1" x14ac:dyDescent="0.25">
      <c r="S190" s="97"/>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3">
    <dataValidation type="list" allowBlank="1" showInputMessage="1" showErrorMessage="1" sqref="N122:N123 H122:H123 J125:J126 L135:L136" xr:uid="{F8B04741-E400-49C7-9ECD-8B2610E68F52}">
      <formula1>INDIRECT("Table_Scope3_AquacultureFeedBait[Feed / Bait ingredient]")</formula1>
    </dataValidation>
    <dataValidation type="list" allowBlank="1" showInputMessage="1" showErrorMessage="1" sqref="G23:G32" xr:uid="{77E3C029-CF7B-45CC-A54A-72E0FAB82668}">
      <formula1>"Hour, Hectare"</formula1>
    </dataValidation>
    <dataValidation type="list" allowBlank="1" showInputMessage="1" showErrorMessage="1" sqref="E8:E17" xr:uid="{5C70F960-9AAC-4693-ADA3-B9C1F7C29A1A}">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9D89C-F733-42ED-BFE1-B51AF22CE8D9}">
  <sheetPr>
    <tabColor theme="5" tint="-0.249977111117893"/>
  </sheetPr>
  <dimension ref="A1:S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18" width="35" style="1" customWidth="1"/>
    <col min="19" max="19" width="5.28515625" style="1" customWidth="1"/>
    <col min="20" max="16384" width="9.140625" style="254"/>
  </cols>
  <sheetData>
    <row r="1" spans="1:19" s="10" customFormat="1" ht="25.5" x14ac:dyDescent="0.35">
      <c r="C1" s="10" t="s">
        <v>1125</v>
      </c>
    </row>
    <row r="2" spans="1:19" s="3" customFormat="1" x14ac:dyDescent="0.25">
      <c r="A2"/>
    </row>
    <row r="3" spans="1:19" ht="20.25" x14ac:dyDescent="0.25">
      <c r="A3" s="5" t="str">
        <f>HYPERLINK("#'Home'!A1", "Home")</f>
        <v>Home</v>
      </c>
      <c r="C3" s="28"/>
      <c r="D3" s="28"/>
      <c r="E3" s="28"/>
      <c r="F3" s="28"/>
      <c r="G3" s="28"/>
      <c r="H3" s="28"/>
      <c r="I3" s="28"/>
      <c r="J3" s="28"/>
      <c r="K3" s="28"/>
      <c r="L3" s="28"/>
      <c r="M3" s="28"/>
      <c r="N3" s="28"/>
      <c r="O3" s="28"/>
      <c r="P3" s="28"/>
      <c r="Q3" s="28"/>
      <c r="R3" s="28"/>
      <c r="S3" s="28"/>
    </row>
    <row r="4" spans="1:19" x14ac:dyDescent="0.25">
      <c r="A4" s="5" t="str">
        <f>HYPERLINK("#'Results - Activity period'!A1", "Results - Activity period")</f>
        <v>Results - Activity period</v>
      </c>
    </row>
    <row r="5" spans="1:19" ht="18.75" x14ac:dyDescent="0.25">
      <c r="A5" s="5" t="str">
        <f>HYPERLINK("#'Results - Product EI'!A1", "Results - Product Emissions Intensity")</f>
        <v>Results - Product Emissions Intensity</v>
      </c>
      <c r="D5" s="260" t="s">
        <v>1126</v>
      </c>
      <c r="E5" s="259"/>
      <c r="F5" s="259"/>
      <c r="G5" s="259"/>
      <c r="H5" s="259"/>
      <c r="I5" s="259"/>
      <c r="J5" s="259"/>
    </row>
    <row r="6" spans="1:19" x14ac:dyDescent="0.25">
      <c r="A6" s="5" t="str">
        <f>HYPERLINK("#'Results'!A1", "Results")</f>
        <v>Results</v>
      </c>
      <c r="D6" s="261" t="s">
        <v>1127</v>
      </c>
      <c r="E6" s="261"/>
      <c r="F6" s="139"/>
      <c r="G6" s="44"/>
      <c r="H6" s="24"/>
      <c r="I6" s="24"/>
      <c r="J6" s="24"/>
    </row>
    <row r="7" spans="1:19" x14ac:dyDescent="0.25">
      <c r="A7"/>
      <c r="D7" s="45" t="s">
        <v>1128</v>
      </c>
      <c r="E7" s="46"/>
      <c r="F7" s="46"/>
      <c r="G7" s="47"/>
      <c r="H7" s="24"/>
      <c r="I7" s="24"/>
      <c r="J7" s="24"/>
    </row>
    <row r="8" spans="1:19" x14ac:dyDescent="0.25">
      <c r="A8"/>
      <c r="D8" s="259"/>
      <c r="E8" s="259"/>
      <c r="F8" s="259"/>
      <c r="G8" s="259"/>
      <c r="H8" s="259"/>
      <c r="I8" s="259"/>
      <c r="J8" s="259"/>
      <c r="K8" s="7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7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7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x14ac:dyDescent="0.25">
      <c r="A9" s="7" t="s">
        <v>0</v>
      </c>
      <c r="D9" s="262" t="s">
        <v>1103</v>
      </c>
      <c r="E9" s="262" t="s">
        <v>1129</v>
      </c>
      <c r="F9" s="262" t="s">
        <v>1130</v>
      </c>
      <c r="G9" s="262" t="s">
        <v>638</v>
      </c>
      <c r="H9" s="262" t="s">
        <v>1131</v>
      </c>
      <c r="I9" s="262" t="s">
        <v>1132</v>
      </c>
      <c r="J9" s="262" t="s">
        <v>1133</v>
      </c>
      <c r="K9" s="256" t="s">
        <v>1134</v>
      </c>
      <c r="L9" s="256" t="s">
        <v>1135</v>
      </c>
      <c r="M9" s="256" t="s">
        <v>1136</v>
      </c>
      <c r="N9" s="256" t="s">
        <v>1137</v>
      </c>
      <c r="O9" s="256" t="s">
        <v>1138</v>
      </c>
      <c r="P9" s="256" t="s">
        <v>1139</v>
      </c>
      <c r="Q9" s="256" t="s">
        <v>1140</v>
      </c>
      <c r="R9" s="256" t="s">
        <v>1141</v>
      </c>
    </row>
    <row r="10" spans="1:19" x14ac:dyDescent="0.25">
      <c r="A10" s="5" t="str">
        <f>HYPERLINK("#'Input - Enterprise'!A1", "Enterprise")</f>
        <v>Enterprise</v>
      </c>
      <c r="D10" s="82" t="s">
        <v>1142</v>
      </c>
      <c r="E10" s="263">
        <v>10</v>
      </c>
      <c r="F10" s="13" t="s">
        <v>702</v>
      </c>
      <c r="G10" s="75">
        <v>100</v>
      </c>
      <c r="H10" s="15">
        <f>Table_Input_Pesticides[[#This Row],[Amount applied per ha]]*Table_Input_Pesticides[[#This Row],[Application area (ha)]]</f>
        <v>1000</v>
      </c>
      <c r="I10" s="13" t="s">
        <v>1143</v>
      </c>
      <c r="J10" s="13" t="s">
        <v>1144</v>
      </c>
      <c r="K10" s="75">
        <v>100</v>
      </c>
      <c r="L10" s="15">
        <f>Table_Input_Pesticides[[#This Row],[Total applied]]*Table_Input_Pesticides[[#This Row],[Active ingredient 1 amount]]*IF(Table_Input_Pesticides[[#This Row],[Constituent unit (select)]]="fraction of product", 1, 10^-3)</f>
        <v>100</v>
      </c>
      <c r="M10" s="13" t="s">
        <v>1144</v>
      </c>
      <c r="N10" s="75">
        <v>100</v>
      </c>
      <c r="O10" s="15">
        <f>Table_Input_Pesticides[[#This Row],[Total applied]]*Table_Input_Pesticides[[#This Row],[Active ingredient 2 amount]]*IF(Table_Input_Pesticides[[#This Row],[Constituent unit (select)]]="fraction of product", 1, 10^-3)</f>
        <v>100</v>
      </c>
      <c r="P10" s="13" t="s">
        <v>1145</v>
      </c>
      <c r="Q10" s="75">
        <v>100</v>
      </c>
      <c r="R10" s="15">
        <f>Table_Input_Pesticides[[#This Row],[Total applied]]*Table_Input_Pesticides[[#This Row],[Active ingredient 3 amount]]*IF(Table_Input_Pesticides[[#This Row],[Constituent unit (select)]]="fraction of product", 1, 10^-3)</f>
        <v>100</v>
      </c>
    </row>
    <row r="11" spans="1:19" x14ac:dyDescent="0.25">
      <c r="A11" s="5" t="str">
        <f>HYPERLINK("#'Input - Site'!A1", "Site")</f>
        <v>Site</v>
      </c>
      <c r="D11" s="82" t="s">
        <v>1146</v>
      </c>
      <c r="E11" s="263">
        <v>10</v>
      </c>
      <c r="F11" s="13" t="s">
        <v>1147</v>
      </c>
      <c r="G11" s="75">
        <v>100</v>
      </c>
      <c r="H11" s="15">
        <f>Table_Input_Pesticides[[#This Row],[Amount applied per ha]]*Table_Input_Pesticides[[#This Row],[Application area (ha)]]</f>
        <v>1000</v>
      </c>
      <c r="I11" s="13" t="s">
        <v>1143</v>
      </c>
      <c r="J11" s="13" t="s">
        <v>1144</v>
      </c>
      <c r="K11" s="75">
        <v>100</v>
      </c>
      <c r="L11" s="15">
        <f>Table_Input_Pesticides[[#This Row],[Total applied]]*Table_Input_Pesticides[[#This Row],[Active ingredient 1 amount]]*IF(Table_Input_Pesticides[[#This Row],[Constituent unit (select)]]="fraction of product", 1, 10^-3)</f>
        <v>100</v>
      </c>
      <c r="M11" s="13" t="s">
        <v>1148</v>
      </c>
      <c r="N11" s="75">
        <v>100</v>
      </c>
      <c r="O11" s="15">
        <f>Table_Input_Pesticides[[#This Row],[Total applied]]*Table_Input_Pesticides[[#This Row],[Active ingredient 2 amount]]*IF(Table_Input_Pesticides[[#This Row],[Constituent unit (select)]]="fraction of product", 1, 10^-3)</f>
        <v>100</v>
      </c>
      <c r="P11" s="13" t="s">
        <v>1149</v>
      </c>
      <c r="Q11" s="75">
        <v>100</v>
      </c>
      <c r="R11" s="15">
        <f>Table_Input_Pesticides[[#This Row],[Total applied]]*Table_Input_Pesticides[[#This Row],[Active ingredient 3 amount]]*IF(Table_Input_Pesticides[[#This Row],[Constituent unit (select)]]="fraction of product", 1, 10^-3)</f>
        <v>100</v>
      </c>
    </row>
    <row r="12" spans="1:19" x14ac:dyDescent="0.25">
      <c r="A12" s="5" t="str">
        <f>HYPERLINK("#'Input - Dairy'!A1", "Dairy")</f>
        <v>Dairy</v>
      </c>
      <c r="D12" s="82" t="s">
        <v>1150</v>
      </c>
      <c r="E12" s="263">
        <v>10</v>
      </c>
      <c r="F12" s="13" t="s">
        <v>702</v>
      </c>
      <c r="G12" s="75">
        <v>100</v>
      </c>
      <c r="H12" s="15">
        <f>Table_Input_Pesticides[[#This Row],[Amount applied per ha]]*Table_Input_Pesticides[[#This Row],[Application area (ha)]]</f>
        <v>1000</v>
      </c>
      <c r="I12" s="13" t="s">
        <v>1143</v>
      </c>
      <c r="J12" s="13" t="s">
        <v>1144</v>
      </c>
      <c r="K12" s="75">
        <v>100</v>
      </c>
      <c r="L12" s="15">
        <f>Table_Input_Pesticides[[#This Row],[Total applied]]*Table_Input_Pesticides[[#This Row],[Active ingredient 1 amount]]*IF(Table_Input_Pesticides[[#This Row],[Constituent unit (select)]]="fraction of product", 1, 10^-3)</f>
        <v>100</v>
      </c>
      <c r="M12" s="13" t="s">
        <v>1151</v>
      </c>
      <c r="N12" s="75">
        <v>100</v>
      </c>
      <c r="O12" s="15">
        <f>Table_Input_Pesticides[[#This Row],[Total applied]]*Table_Input_Pesticides[[#This Row],[Active ingredient 2 amount]]*IF(Table_Input_Pesticides[[#This Row],[Constituent unit (select)]]="fraction of product", 1, 10^-3)</f>
        <v>100</v>
      </c>
      <c r="P12" s="13" t="s">
        <v>1152</v>
      </c>
      <c r="Q12" s="75">
        <v>100</v>
      </c>
      <c r="R12" s="15">
        <f>Table_Input_Pesticides[[#This Row],[Total applied]]*Table_Input_Pesticides[[#This Row],[Active ingredient 3 amount]]*IF(Table_Input_Pesticides[[#This Row],[Constituent unit (select)]]="fraction of product", 1, 10^-3)</f>
        <v>100</v>
      </c>
    </row>
    <row r="13" spans="1:19" x14ac:dyDescent="0.25">
      <c r="A13" s="5" t="str">
        <f>HYPERLINK("#'Input - Livestock sales'!A1", "Livestock sales")</f>
        <v>Livestock sales</v>
      </c>
      <c r="D13" s="82"/>
      <c r="E13" s="263"/>
      <c r="F13" s="13"/>
      <c r="G13" s="75"/>
      <c r="H13" s="15">
        <f>Table_Input_Pesticides[[#This Row],[Amount applied per ha]]*Table_Input_Pesticides[[#This Row],[Application area (ha)]]</f>
        <v>0</v>
      </c>
      <c r="I13" s="13"/>
      <c r="J13" s="13"/>
      <c r="K13" s="75"/>
      <c r="L13" s="15">
        <f>Table_Input_Pesticides[[#This Row],[Total applied]]*Table_Input_Pesticides[[#This Row],[Active ingredient 1 amount]]*IF(Table_Input_Pesticides[[#This Row],[Constituent unit (select)]]="fraction of product", 1, 10^-3)</f>
        <v>0</v>
      </c>
      <c r="M13" s="13"/>
      <c r="N13" s="75"/>
      <c r="O13" s="15">
        <f>Table_Input_Pesticides[[#This Row],[Total applied]]*Table_Input_Pesticides[[#This Row],[Active ingredient 2 amount]]*IF(Table_Input_Pesticides[[#This Row],[Constituent unit (select)]]="fraction of product", 1, 10^-3)</f>
        <v>0</v>
      </c>
      <c r="P13" s="13"/>
      <c r="Q13" s="75"/>
      <c r="R13" s="15">
        <f>Table_Input_Pesticides[[#This Row],[Total applied]]*Table_Input_Pesticides[[#This Row],[Active ingredient 3 amount]]*IF(Table_Input_Pesticides[[#This Row],[Constituent unit (select)]]="fraction of product", 1, 10^-3)</f>
        <v>0</v>
      </c>
    </row>
    <row r="14" spans="1:19" x14ac:dyDescent="0.25">
      <c r="A14" s="5" t="str">
        <f>HYPERLINK("#'Input - Dairy cattle purchases'!A1", "Dairy cattle purchases")</f>
        <v>Dairy cattle purchases</v>
      </c>
      <c r="D14" s="82"/>
      <c r="E14" s="263"/>
      <c r="F14" s="13"/>
      <c r="G14" s="75"/>
      <c r="H14" s="15">
        <f>Table_Input_Pesticides[[#This Row],[Amount applied per ha]]*Table_Input_Pesticides[[#This Row],[Application area (ha)]]</f>
        <v>0</v>
      </c>
      <c r="I14" s="13"/>
      <c r="J14" s="13"/>
      <c r="K14" s="75"/>
      <c r="L14" s="15">
        <f>Table_Input_Pesticides[[#This Row],[Total applied]]*Table_Input_Pesticides[[#This Row],[Active ingredient 1 amount]]*IF(Table_Input_Pesticides[[#This Row],[Constituent unit (select)]]="fraction of product", 1, 10^-3)</f>
        <v>0</v>
      </c>
      <c r="M14" s="13"/>
      <c r="N14" s="75"/>
      <c r="O14" s="15">
        <f>Table_Input_Pesticides[[#This Row],[Total applied]]*Table_Input_Pesticides[[#This Row],[Active ingredient 2 amount]]*IF(Table_Input_Pesticides[[#This Row],[Constituent unit (select)]]="fraction of product", 1, 10^-3)</f>
        <v>0</v>
      </c>
      <c r="P14" s="13"/>
      <c r="Q14" s="75"/>
      <c r="R14" s="15">
        <f>Table_Input_Pesticides[[#This Row],[Total applied]]*Table_Input_Pesticides[[#This Row],[Active ingredient 3 amount]]*IF(Table_Input_Pesticides[[#This Row],[Constituent unit (select)]]="fraction of product", 1, 10^-3)</f>
        <v>0</v>
      </c>
    </row>
    <row r="15" spans="1:19" x14ac:dyDescent="0.25">
      <c r="A15" s="5" t="str">
        <f>HYPERLINK("#'Input - Pasture'!A1", "Pasture")</f>
        <v>Pasture</v>
      </c>
      <c r="D15" s="82"/>
      <c r="E15" s="263"/>
      <c r="F15" s="13"/>
      <c r="G15" s="75"/>
      <c r="H15" s="15">
        <f>Table_Input_Pesticides[[#This Row],[Amount applied per ha]]*Table_Input_Pesticides[[#This Row],[Application area (ha)]]</f>
        <v>0</v>
      </c>
      <c r="I15" s="13"/>
      <c r="J15" s="13"/>
      <c r="K15" s="75"/>
      <c r="L15" s="15">
        <f>Table_Input_Pesticides[[#This Row],[Total applied]]*Table_Input_Pesticides[[#This Row],[Active ingredient 1 amount]]*IF(Table_Input_Pesticides[[#This Row],[Constituent unit (select)]]="fraction of product", 1, 10^-3)</f>
        <v>0</v>
      </c>
      <c r="M15" s="13"/>
      <c r="N15" s="75"/>
      <c r="O15" s="15">
        <f>Table_Input_Pesticides[[#This Row],[Total applied]]*Table_Input_Pesticides[[#This Row],[Active ingredient 2 amount]]*IF(Table_Input_Pesticides[[#This Row],[Constituent unit (select)]]="fraction of product", 1, 10^-3)</f>
        <v>0</v>
      </c>
      <c r="P15" s="13"/>
      <c r="Q15" s="75"/>
      <c r="R15" s="15">
        <f>Table_Input_Pesticides[[#This Row],[Total applied]]*Table_Input_Pesticides[[#This Row],[Active ingredient 3 amount]]*IF(Table_Input_Pesticides[[#This Row],[Constituent unit (select)]]="fraction of product", 1, 10^-3)</f>
        <v>0</v>
      </c>
    </row>
    <row r="16" spans="1:19" x14ac:dyDescent="0.25">
      <c r="A16" s="5" t="str">
        <f>HYPERLINK("#'Input - Fert Prod System'!A1", "Fert Prod System")</f>
        <v>Fert Prod System</v>
      </c>
      <c r="D16" s="82"/>
      <c r="E16" s="263"/>
      <c r="F16" s="13"/>
      <c r="G16" s="75"/>
      <c r="H16" s="15">
        <f>Table_Input_Pesticides[[#This Row],[Amount applied per ha]]*Table_Input_Pesticides[[#This Row],[Application area (ha)]]</f>
        <v>0</v>
      </c>
      <c r="I16" s="13"/>
      <c r="J16" s="13"/>
      <c r="K16" s="75"/>
      <c r="L16" s="15">
        <f>Table_Input_Pesticides[[#This Row],[Total applied]]*Table_Input_Pesticides[[#This Row],[Active ingredient 1 amount]]*IF(Table_Input_Pesticides[[#This Row],[Constituent unit (select)]]="fraction of product", 1, 10^-3)</f>
        <v>0</v>
      </c>
      <c r="M16" s="13"/>
      <c r="N16" s="75"/>
      <c r="O16" s="15">
        <f>Table_Input_Pesticides[[#This Row],[Total applied]]*Table_Input_Pesticides[[#This Row],[Active ingredient 2 amount]]*IF(Table_Input_Pesticides[[#This Row],[Constituent unit (select)]]="fraction of product", 1, 10^-3)</f>
        <v>0</v>
      </c>
      <c r="P16" s="13"/>
      <c r="Q16" s="75"/>
      <c r="R16" s="15">
        <f>Table_Input_Pesticides[[#This Row],[Total applied]]*Table_Input_Pesticides[[#This Row],[Active ingredient 3 amount]]*IF(Table_Input_Pesticides[[#This Row],[Constituent unit (select)]]="fraction of product", 1, 10^-3)</f>
        <v>0</v>
      </c>
    </row>
    <row r="17" spans="1:18" x14ac:dyDescent="0.25">
      <c r="A17" s="5" t="str">
        <f>HYPERLINK("#'Input - Fertiliser'!A1", "Fertiliser")</f>
        <v>Fertiliser</v>
      </c>
      <c r="D17" s="82"/>
      <c r="E17" s="263"/>
      <c r="F17" s="13"/>
      <c r="G17" s="75"/>
      <c r="H17" s="15">
        <f>Table_Input_Pesticides[[#This Row],[Amount applied per ha]]*Table_Input_Pesticides[[#This Row],[Application area (ha)]]</f>
        <v>0</v>
      </c>
      <c r="I17" s="13"/>
      <c r="J17" s="13"/>
      <c r="K17" s="75"/>
      <c r="L17" s="15">
        <f>Table_Input_Pesticides[[#This Row],[Total applied]]*Table_Input_Pesticides[[#This Row],[Active ingredient 1 amount]]*IF(Table_Input_Pesticides[[#This Row],[Constituent unit (select)]]="fraction of product", 1, 10^-3)</f>
        <v>0</v>
      </c>
      <c r="M17" s="13"/>
      <c r="N17" s="75"/>
      <c r="O17" s="15">
        <f>Table_Input_Pesticides[[#This Row],[Total applied]]*Table_Input_Pesticides[[#This Row],[Active ingredient 2 amount]]*IF(Table_Input_Pesticides[[#This Row],[Constituent unit (select)]]="fraction of product", 1, 10^-3)</f>
        <v>0</v>
      </c>
      <c r="P17" s="13"/>
      <c r="Q17" s="75"/>
      <c r="R17" s="15">
        <f>Table_Input_Pesticides[[#This Row],[Total applied]]*Table_Input_Pesticides[[#This Row],[Active ingredient 3 amount]]*IF(Table_Input_Pesticides[[#This Row],[Constituent unit (select)]]="fraction of product", 1, 10^-3)</f>
        <v>0</v>
      </c>
    </row>
    <row r="18" spans="1:18" x14ac:dyDescent="0.25">
      <c r="A18" s="5" t="str">
        <f>HYPERLINK("#'Input - Fuel'!A1", "Fuel")</f>
        <v>Fuel</v>
      </c>
      <c r="D18" s="82"/>
      <c r="E18" s="263"/>
      <c r="F18" s="13"/>
      <c r="G18" s="75"/>
      <c r="H18" s="15">
        <f>Table_Input_Pesticides[[#This Row],[Amount applied per ha]]*Table_Input_Pesticides[[#This Row],[Application area (ha)]]</f>
        <v>0</v>
      </c>
      <c r="I18" s="13"/>
      <c r="J18" s="13"/>
      <c r="K18" s="75"/>
      <c r="L18" s="15">
        <f>Table_Input_Pesticides[[#This Row],[Total applied]]*Table_Input_Pesticides[[#This Row],[Active ingredient 1 amount]]*IF(Table_Input_Pesticides[[#This Row],[Constituent unit (select)]]="fraction of product", 1, 10^-3)</f>
        <v>0</v>
      </c>
      <c r="M18" s="13"/>
      <c r="N18" s="75"/>
      <c r="O18" s="15">
        <f>Table_Input_Pesticides[[#This Row],[Total applied]]*Table_Input_Pesticides[[#This Row],[Active ingredient 2 amount]]*IF(Table_Input_Pesticides[[#This Row],[Constituent unit (select)]]="fraction of product", 1, 10^-3)</f>
        <v>0</v>
      </c>
      <c r="P18" s="13"/>
      <c r="Q18" s="75"/>
      <c r="R18" s="15">
        <f>Table_Input_Pesticides[[#This Row],[Total applied]]*Table_Input_Pesticides[[#This Row],[Active ingredient 3 amount]]*IF(Table_Input_Pesticides[[#This Row],[Constituent unit (select)]]="fraction of product", 1, 10^-3)</f>
        <v>0</v>
      </c>
    </row>
    <row r="19" spans="1:18" x14ac:dyDescent="0.25">
      <c r="A19" s="5" t="str">
        <f>HYPERLINK("#'Input - Electricity'!A1", "Electricity")</f>
        <v>Electricity</v>
      </c>
      <c r="D19" s="82"/>
      <c r="E19" s="263"/>
      <c r="F19" s="13"/>
      <c r="G19" s="75"/>
      <c r="H19" s="15">
        <f>Table_Input_Pesticides[[#This Row],[Amount applied per ha]]*Table_Input_Pesticides[[#This Row],[Application area (ha)]]</f>
        <v>0</v>
      </c>
      <c r="I19" s="13"/>
      <c r="J19" s="13"/>
      <c r="K19" s="75"/>
      <c r="L19" s="15">
        <f>Table_Input_Pesticides[[#This Row],[Total applied]]*Table_Input_Pesticides[[#This Row],[Active ingredient 1 amount]]*IF(Table_Input_Pesticides[[#This Row],[Constituent unit (select)]]="fraction of product", 1, 10^-3)</f>
        <v>0</v>
      </c>
      <c r="M19" s="13"/>
      <c r="N19" s="75"/>
      <c r="O19" s="15">
        <f>Table_Input_Pesticides[[#This Row],[Total applied]]*Table_Input_Pesticides[[#This Row],[Active ingredient 2 amount]]*IF(Table_Input_Pesticides[[#This Row],[Constituent unit (select)]]="fraction of product", 1, 10^-3)</f>
        <v>0</v>
      </c>
      <c r="P19" s="13"/>
      <c r="Q19" s="75"/>
      <c r="R19" s="15">
        <f>Table_Input_Pesticides[[#This Row],[Total applied]]*Table_Input_Pesticides[[#This Row],[Active ingredient 3 amount]]*IF(Table_Input_Pesticides[[#This Row],[Constituent unit (select)]]="fraction of product", 1, 10^-3)</f>
        <v>0</v>
      </c>
    </row>
    <row r="20" spans="1:18" x14ac:dyDescent="0.25">
      <c r="A20" s="5" t="str">
        <f>HYPERLINK("#'Input - Common farm inputs'!A1", "Common farm inputs")</f>
        <v>Common farm inputs</v>
      </c>
    </row>
    <row r="21" spans="1:18" x14ac:dyDescent="0.25">
      <c r="A21" s="99" t="str">
        <f>HYPERLINK("#'Input - Crop pasture farm input'!A1", "Crop pasture farm input")</f>
        <v>Crop pasture farm input</v>
      </c>
    </row>
    <row r="22" spans="1:18" ht="23.25" x14ac:dyDescent="0.25">
      <c r="A22" s="5" t="str">
        <f>HYPERLINK("#'Input - Livestock farm Inputs'!A1", "Livestock farm Inputs")</f>
        <v>Livestock farm Inputs</v>
      </c>
      <c r="D22" s="2" t="s">
        <v>1153</v>
      </c>
      <c r="E22" s="255"/>
      <c r="F22" s="255"/>
    </row>
    <row r="23" spans="1:18" x14ac:dyDescent="0.25">
      <c r="A23" s="5" t="str">
        <f>HYPERLINK("#'Input - Freight'!A1", "Freight")</f>
        <v>Freight</v>
      </c>
      <c r="D23" s="1" t="str">
        <f>'Constants - Scope 3'!E204</f>
        <v>Barley grain (for seed)</v>
      </c>
      <c r="E23" s="75">
        <v>500</v>
      </c>
      <c r="F23" s="16" t="s">
        <v>704</v>
      </c>
    </row>
    <row r="24" spans="1:18" x14ac:dyDescent="0.25">
      <c r="A24" s="5" t="str">
        <f>HYPERLINK("#'Input - Solid waste'!A1", "Solid waste")</f>
        <v>Solid waste</v>
      </c>
      <c r="D24" s="1" t="str">
        <f>'Constants - Scope 3'!E205</f>
        <v>Maize grain (for seed)</v>
      </c>
      <c r="E24" s="75">
        <v>600</v>
      </c>
      <c r="F24" s="16" t="s">
        <v>704</v>
      </c>
    </row>
    <row r="25" spans="1:18" x14ac:dyDescent="0.25">
      <c r="A25" s="5" t="str">
        <f>HYPERLINK("#'Input - Manure sent off-site'!A1", "Manure sent off-site")</f>
        <v>Manure sent off-site</v>
      </c>
      <c r="D25" s="1" t="str">
        <f>'Constants - Scope 3'!E207</f>
        <v>Oat grain (for seed)</v>
      </c>
      <c r="E25" s="75">
        <v>700</v>
      </c>
      <c r="F25" s="16" t="s">
        <v>704</v>
      </c>
    </row>
    <row r="26" spans="1:18" x14ac:dyDescent="0.25">
      <c r="A26" s="5" t="str">
        <f>HYPERLINK("#'Input - Data quality'!A1", "Data quality")</f>
        <v>Data quality</v>
      </c>
      <c r="D26" s="1" t="str">
        <f>'Constants - Scope 3'!E208</f>
        <v>Sorghum grain (for seed)</v>
      </c>
      <c r="E26" s="75">
        <v>800</v>
      </c>
      <c r="F26" s="16" t="s">
        <v>704</v>
      </c>
    </row>
    <row r="27" spans="1:18" x14ac:dyDescent="0.25">
      <c r="A27"/>
      <c r="D27" s="1" t="str">
        <f>'Constants - Scope 3'!E209</f>
        <v>Wheat grain (for seed)</v>
      </c>
      <c r="E27" s="75">
        <v>900</v>
      </c>
      <c r="F27" s="16" t="s">
        <v>704</v>
      </c>
    </row>
    <row r="28" spans="1:18" x14ac:dyDescent="0.25">
      <c r="A28"/>
    </row>
    <row r="29" spans="1:18" x14ac:dyDescent="0.25">
      <c r="A29" s="6" t="s">
        <v>2</v>
      </c>
    </row>
    <row r="30" spans="1:18" x14ac:dyDescent="0.25">
      <c r="A30" s="5" t="str">
        <f>HYPERLINK("#'3.3.1.1-2 Enteric Methane'!A1", "3.3.1.1-2 Enteric methane")</f>
        <v>3.3.1.1-2 Enteric methane</v>
      </c>
    </row>
    <row r="31" spans="1:18" x14ac:dyDescent="0.25">
      <c r="A31" s="5" t="str">
        <f>HYPERLINK("#'4.3.1.1-2 Methane'!A1", "4.3.1.1-2 Manure methane")</f>
        <v>4.3.1.1-2 Manure methane</v>
      </c>
    </row>
    <row r="32" spans="1:18"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3" spans="1:1" x14ac:dyDescent="0.25">
      <c r="A53"/>
    </row>
    <row r="54" spans="1:1" x14ac:dyDescent="0.25">
      <c r="A54"/>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J10:J19 M10:M19 P10:P19" xr:uid="{F8D48805-7053-4695-95B4-BB1C30EDB94C}">
      <formula1>INDIRECT("Table_SourceData_Scope3_Pesticides[Product]")</formula1>
    </dataValidation>
    <dataValidation type="list" allowBlank="1" showInputMessage="1" showErrorMessage="1" sqref="I10:I19" xr:uid="{21268E3D-8347-4FD0-A960-95CB09966E9C}">
      <formula1>"grams/litre or grams/kg, fraction of product"</formula1>
    </dataValidation>
    <dataValidation type="list" allowBlank="1" showInputMessage="1" showErrorMessage="1" sqref="F10:F19" xr:uid="{2400DF5B-B7AD-4B5F-8043-797545BFD3B8}">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9229-0B26-430F-97C3-009B120F35C1}">
  <sheetPr>
    <tabColor theme="5" tint="-0.249977111117893"/>
  </sheetPr>
  <dimension ref="A1:R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17" width="35" style="1" customWidth="1"/>
    <col min="18" max="18" width="5.28515625" style="1" customWidth="1"/>
    <col min="19" max="16384" width="9.140625" style="254"/>
  </cols>
  <sheetData>
    <row r="1" spans="1:18" s="10" customFormat="1" ht="25.5" x14ac:dyDescent="0.35">
      <c r="C1" s="10" t="s">
        <v>1154</v>
      </c>
    </row>
    <row r="2" spans="1:18" s="3" customFormat="1" ht="20.100000000000001" customHeight="1" x14ac:dyDescent="0.25">
      <c r="A2"/>
    </row>
    <row r="3" spans="1:18" ht="20.100000000000001" customHeight="1" x14ac:dyDescent="0.25">
      <c r="A3" s="5" t="str">
        <f>HYPERLINK("#'Home'!A1", "Home")</f>
        <v>Home</v>
      </c>
      <c r="C3" s="28"/>
      <c r="D3" s="28"/>
      <c r="E3" s="28"/>
      <c r="F3" s="28"/>
      <c r="G3" s="28"/>
      <c r="H3" s="28"/>
      <c r="I3" s="28"/>
      <c r="J3" s="28"/>
      <c r="K3" s="28"/>
      <c r="L3" s="28"/>
      <c r="M3" s="28"/>
      <c r="N3" s="28"/>
      <c r="O3" s="28"/>
      <c r="P3" s="28"/>
      <c r="Q3" s="28"/>
      <c r="R3" s="28"/>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
        <v>1155</v>
      </c>
      <c r="E5" s="255"/>
      <c r="F5" s="255"/>
      <c r="G5" s="255"/>
      <c r="H5" s="255"/>
      <c r="I5" s="255"/>
      <c r="J5" s="255"/>
    </row>
    <row r="6" spans="1:18" ht="20.100000000000001" customHeight="1" x14ac:dyDescent="0.25">
      <c r="A6" s="5" t="str">
        <f>HYPERLINK("#'Results'!A1", "Results")</f>
        <v>Results</v>
      </c>
      <c r="D6" s="260" t="s">
        <v>1156</v>
      </c>
      <c r="E6" s="264"/>
      <c r="F6" s="265"/>
      <c r="G6" s="255"/>
      <c r="H6" s="255"/>
      <c r="I6" s="255"/>
      <c r="J6" s="255"/>
    </row>
    <row r="7" spans="1:18" ht="20.100000000000001" customHeight="1" x14ac:dyDescent="0.25">
      <c r="A7"/>
      <c r="D7" s="1" t="str" cm="1">
        <f t="array" ref="D7:D9">Table_SourceData_Scope3_LickBlocks[Product]</f>
        <v>Lick block, dry season mix</v>
      </c>
      <c r="E7" s="75">
        <v>100</v>
      </c>
      <c r="F7" s="16" t="s">
        <v>704</v>
      </c>
      <c r="G7" s="255"/>
      <c r="H7" s="255"/>
      <c r="I7" s="255"/>
      <c r="J7" s="255"/>
    </row>
    <row r="8" spans="1:18" ht="20.100000000000001" customHeight="1" x14ac:dyDescent="0.25">
      <c r="A8"/>
      <c r="D8" s="1" t="str">
        <v>Lick block, mineral</v>
      </c>
      <c r="E8" s="75">
        <v>100</v>
      </c>
      <c r="F8" s="16" t="s">
        <v>704</v>
      </c>
      <c r="G8" s="255"/>
      <c r="H8" s="255"/>
      <c r="I8" s="255"/>
      <c r="J8" s="255"/>
    </row>
    <row r="9" spans="1:18" ht="20.100000000000001" customHeight="1" x14ac:dyDescent="0.25">
      <c r="A9" s="7" t="s">
        <v>0</v>
      </c>
      <c r="D9" s="1" t="str">
        <v>Lick block, weaner</v>
      </c>
      <c r="E9" s="75">
        <v>100</v>
      </c>
      <c r="F9" s="16" t="s">
        <v>704</v>
      </c>
      <c r="G9" s="255"/>
      <c r="H9" s="255"/>
      <c r="I9" s="255"/>
      <c r="J9" s="255"/>
    </row>
    <row r="10" spans="1:18" ht="20.100000000000001" customHeight="1" x14ac:dyDescent="0.25">
      <c r="A10" s="5" t="str">
        <f>HYPERLINK("#'Input - Enterprise'!A1", "Enterprise")</f>
        <v>Enterprise</v>
      </c>
      <c r="G10" s="255"/>
      <c r="H10" s="255"/>
      <c r="I10" s="255"/>
      <c r="J10" s="255"/>
    </row>
    <row r="11" spans="1:18" ht="20.100000000000001" customHeight="1" x14ac:dyDescent="0.25">
      <c r="A11" s="5" t="str">
        <f>HYPERLINK("#'Input - Site'!A1", "Site")</f>
        <v>Site</v>
      </c>
      <c r="D11" s="260" t="s">
        <v>1157</v>
      </c>
      <c r="E11" s="24"/>
      <c r="F11" s="24"/>
      <c r="G11" s="255"/>
      <c r="H11" s="255"/>
      <c r="I11" s="255"/>
      <c r="J11" s="255"/>
    </row>
    <row r="12" spans="1:18" ht="20.100000000000001" customHeight="1" x14ac:dyDescent="0.25">
      <c r="A12" s="5" t="str">
        <f>HYPERLINK("#'Input - Dairy'!A1", "Dairy")</f>
        <v>Dairy</v>
      </c>
      <c r="D12" s="1" t="str" cm="1">
        <f t="array" ref="D12:D15">Table_SourceData_Scope3_MixedRations[Product]</f>
        <v>Feed for chickens</v>
      </c>
      <c r="E12" s="75">
        <v>100</v>
      </c>
      <c r="F12" s="16" t="s">
        <v>704</v>
      </c>
      <c r="G12" s="255"/>
      <c r="H12" s="255"/>
      <c r="I12" s="255"/>
      <c r="J12" s="255"/>
    </row>
    <row r="13" spans="1:18" ht="20.100000000000001" customHeight="1" x14ac:dyDescent="0.25">
      <c r="A13" s="5" t="str">
        <f>HYPERLINK("#'Input - Livestock sales'!A1", "Livestock sales")</f>
        <v>Livestock sales</v>
      </c>
      <c r="D13" s="1" t="str">
        <v>Feed for dairy calves</v>
      </c>
      <c r="E13" s="75">
        <v>100</v>
      </c>
      <c r="F13" s="16" t="s">
        <v>704</v>
      </c>
      <c r="G13" s="255"/>
      <c r="H13" s="255"/>
      <c r="I13" s="255"/>
      <c r="J13" s="255"/>
    </row>
    <row r="14" spans="1:18" ht="20.100000000000001" customHeight="1" x14ac:dyDescent="0.25">
      <c r="A14" s="5" t="str">
        <f>HYPERLINK("#'Input - Dairy cattle purchases'!A1", "Dairy cattle purchases")</f>
        <v>Dairy cattle purchases</v>
      </c>
      <c r="D14" s="1" t="str">
        <v>Feed for dairy cows</v>
      </c>
      <c r="E14" s="75">
        <v>100</v>
      </c>
      <c r="F14" s="16" t="s">
        <v>704</v>
      </c>
      <c r="G14" s="255"/>
      <c r="H14" s="255"/>
      <c r="I14" s="255"/>
      <c r="J14" s="255"/>
    </row>
    <row r="15" spans="1:18" ht="20.100000000000001" customHeight="1" x14ac:dyDescent="0.25">
      <c r="A15" s="5" t="str">
        <f>HYPERLINK("#'Input - Pasture'!A1", "Pasture")</f>
        <v>Pasture</v>
      </c>
      <c r="D15" s="1" t="str">
        <v>Feed for pigs</v>
      </c>
      <c r="E15" s="75">
        <v>100</v>
      </c>
      <c r="F15" s="16" t="s">
        <v>704</v>
      </c>
      <c r="G15" s="255"/>
      <c r="H15" s="255"/>
      <c r="I15" s="255"/>
      <c r="J15" s="255"/>
    </row>
    <row r="16" spans="1:18" ht="20.100000000000001" customHeight="1" x14ac:dyDescent="0.25">
      <c r="A16" s="5" t="str">
        <f>HYPERLINK("#'Input - Fert Prod System'!A1", "Fert Prod System")</f>
        <v>Fert Prod System</v>
      </c>
      <c r="D16" s="24"/>
      <c r="E16" s="24"/>
      <c r="F16" s="24"/>
      <c r="G16" s="255"/>
      <c r="H16" s="255"/>
      <c r="I16" s="255"/>
      <c r="J16" s="255"/>
    </row>
    <row r="17" spans="1:17" ht="20.100000000000001" customHeight="1" x14ac:dyDescent="0.25">
      <c r="A17" s="5" t="str">
        <f>HYPERLINK("#'Input - Fertiliser'!A1", "Fertiliser")</f>
        <v>Fertiliser</v>
      </c>
      <c r="D17" s="260" t="s">
        <v>1158</v>
      </c>
      <c r="E17" s="24"/>
      <c r="F17" s="24"/>
      <c r="G17" s="255"/>
      <c r="H17" s="255"/>
      <c r="I17" s="255"/>
      <c r="J17" s="255"/>
    </row>
    <row r="18" spans="1:17" ht="20.100000000000001" customHeight="1" x14ac:dyDescent="0.25">
      <c r="A18" s="5" t="str">
        <f>HYPERLINK("#'Input - Fuel'!A1", "Fuel")</f>
        <v>Fuel</v>
      </c>
      <c r="D18" s="81" t="s">
        <v>1159</v>
      </c>
      <c r="E18" s="81" t="s">
        <v>1160</v>
      </c>
      <c r="F18" s="81" t="s">
        <v>664</v>
      </c>
      <c r="G18" s="81" t="s">
        <v>1161</v>
      </c>
      <c r="H18" s="81" t="s">
        <v>642</v>
      </c>
      <c r="I18" s="81" t="s">
        <v>1162</v>
      </c>
      <c r="J18" s="81" t="s">
        <v>1163</v>
      </c>
      <c r="K18" s="81" t="s">
        <v>644</v>
      </c>
      <c r="L18" s="81" t="s">
        <v>1164</v>
      </c>
      <c r="M18" s="81" t="s">
        <v>1165</v>
      </c>
      <c r="N18" s="81" t="s">
        <v>646</v>
      </c>
      <c r="O18" s="81" t="s">
        <v>1166</v>
      </c>
      <c r="P18" s="81" t="s">
        <v>1167</v>
      </c>
      <c r="Q18" s="202" t="s">
        <v>648</v>
      </c>
    </row>
    <row r="19" spans="1:17" ht="20.100000000000001" customHeight="1" x14ac:dyDescent="0.25">
      <c r="A19" s="5" t="str">
        <f>HYPERLINK("#'Input - Electricity'!A1", "Electricity")</f>
        <v>Electricity</v>
      </c>
      <c r="D19" s="33"/>
      <c r="E19" s="266">
        <v>1200</v>
      </c>
      <c r="F19" s="13" t="s">
        <v>1168</v>
      </c>
      <c r="G19" s="13" t="s">
        <v>600</v>
      </c>
      <c r="H19" s="203">
        <v>0.35</v>
      </c>
      <c r="I19" s="13" t="s">
        <v>1169</v>
      </c>
      <c r="J19" s="13" t="s">
        <v>600</v>
      </c>
      <c r="K19" s="203">
        <v>0.22</v>
      </c>
      <c r="L19" s="13" t="s">
        <v>1170</v>
      </c>
      <c r="M19" s="13" t="s">
        <v>1171</v>
      </c>
      <c r="N19" s="203">
        <v>0.12</v>
      </c>
      <c r="O19" s="13" t="s">
        <v>1172</v>
      </c>
      <c r="P19" s="13" t="s">
        <v>599</v>
      </c>
      <c r="Q19" s="203">
        <v>0.05</v>
      </c>
    </row>
    <row r="20" spans="1:17" ht="20.100000000000001" customHeight="1" x14ac:dyDescent="0.25">
      <c r="A20" s="5" t="str">
        <f>HYPERLINK("#'Input - Common farm inputs'!A1", "Common farm inputs")</f>
        <v>Common farm inputs</v>
      </c>
      <c r="D20" s="33"/>
      <c r="E20" s="266">
        <v>3456</v>
      </c>
      <c r="F20" s="13" t="s">
        <v>1173</v>
      </c>
      <c r="G20" s="13" t="s">
        <v>1171</v>
      </c>
      <c r="H20" s="203">
        <v>0.2</v>
      </c>
      <c r="I20" s="13" t="s">
        <v>1173</v>
      </c>
      <c r="J20" s="13" t="s">
        <v>597</v>
      </c>
      <c r="K20" s="203">
        <v>0.2</v>
      </c>
      <c r="L20" s="13"/>
      <c r="M20" s="13"/>
      <c r="N20" s="203"/>
      <c r="O20" s="13"/>
      <c r="P20" s="13"/>
      <c r="Q20" s="203"/>
    </row>
    <row r="21" spans="1:17" ht="20.100000000000001" customHeight="1" x14ac:dyDescent="0.25">
      <c r="A21" s="5" t="str">
        <f>HYPERLINK("#'Input - Crop pasture farm input'!A1", "Crop pasture farm input")</f>
        <v>Crop pasture farm input</v>
      </c>
      <c r="D21" s="33" t="s">
        <v>1174</v>
      </c>
      <c r="E21" s="266">
        <v>300</v>
      </c>
      <c r="F21" s="13" t="s">
        <v>1175</v>
      </c>
      <c r="G21" s="13" t="s">
        <v>600</v>
      </c>
      <c r="H21" s="203">
        <v>0.8</v>
      </c>
      <c r="I21" s="13" t="s">
        <v>1176</v>
      </c>
      <c r="J21" s="13" t="s">
        <v>1177</v>
      </c>
      <c r="K21" s="203">
        <v>0.2</v>
      </c>
      <c r="L21" s="13"/>
      <c r="M21" s="13"/>
      <c r="N21" s="203"/>
      <c r="O21" s="13"/>
      <c r="P21" s="13"/>
      <c r="Q21" s="203"/>
    </row>
    <row r="22" spans="1:17" ht="20.100000000000001" customHeight="1" x14ac:dyDescent="0.25">
      <c r="A22" s="99" t="str">
        <f>HYPERLINK("#'Input - Livestock farm Inputs'!A1", "Livestock farm Inputs")</f>
        <v>Livestock farm Inputs</v>
      </c>
      <c r="D22" s="33"/>
      <c r="E22" s="266">
        <v>500</v>
      </c>
      <c r="F22" s="13" t="s">
        <v>1178</v>
      </c>
      <c r="G22" s="13" t="s">
        <v>602</v>
      </c>
      <c r="H22" s="203">
        <v>1</v>
      </c>
      <c r="I22" s="13"/>
      <c r="J22" s="13"/>
      <c r="K22" s="203"/>
      <c r="L22" s="13"/>
      <c r="M22" s="13"/>
      <c r="N22" s="203"/>
      <c r="O22" s="13"/>
      <c r="P22" s="13"/>
      <c r="Q22" s="203"/>
    </row>
    <row r="23" spans="1:17" ht="20.100000000000001" customHeight="1" x14ac:dyDescent="0.25">
      <c r="A23" s="5" t="str">
        <f>HYPERLINK("#'Input - Freight'!A1", "Freight")</f>
        <v>Freight</v>
      </c>
      <c r="D23" s="33"/>
      <c r="E23" s="266"/>
      <c r="F23" s="13"/>
      <c r="G23" s="13"/>
      <c r="H23" s="203"/>
      <c r="I23" s="13"/>
      <c r="J23" s="13"/>
      <c r="K23" s="203"/>
      <c r="L23" s="13"/>
      <c r="M23" s="13"/>
      <c r="N23" s="203"/>
      <c r="O23" s="13"/>
      <c r="P23" s="13"/>
      <c r="Q23" s="203"/>
    </row>
    <row r="24" spans="1:17" ht="20.100000000000001" customHeight="1" x14ac:dyDescent="0.25">
      <c r="A24" s="5" t="str">
        <f>HYPERLINK("#'Input - Solid waste'!A1", "Solid waste")</f>
        <v>Solid waste</v>
      </c>
      <c r="D24" s="33"/>
      <c r="E24" s="266"/>
      <c r="F24" s="13"/>
      <c r="G24" s="13"/>
      <c r="H24" s="203"/>
      <c r="I24" s="13"/>
      <c r="J24" s="13"/>
      <c r="K24" s="203"/>
      <c r="L24" s="13"/>
      <c r="M24" s="13"/>
      <c r="N24" s="203"/>
      <c r="O24" s="13"/>
      <c r="P24" s="13"/>
      <c r="Q24" s="203"/>
    </row>
    <row r="25" spans="1:17" ht="20.100000000000001" customHeight="1" x14ac:dyDescent="0.25">
      <c r="A25" s="5" t="str">
        <f>HYPERLINK("#'Input - Manure sent off-site'!A1", "Manure sent off-site")</f>
        <v>Manure sent off-site</v>
      </c>
      <c r="D25" s="33"/>
      <c r="E25" s="266"/>
      <c r="F25" s="13"/>
      <c r="G25" s="13"/>
      <c r="H25" s="203"/>
      <c r="I25" s="13"/>
      <c r="J25" s="13"/>
      <c r="K25" s="203"/>
      <c r="L25" s="13"/>
      <c r="M25" s="13"/>
      <c r="N25" s="203"/>
      <c r="O25" s="13"/>
      <c r="P25" s="13"/>
      <c r="Q25" s="203"/>
    </row>
    <row r="26" spans="1:17" ht="20.100000000000001" customHeight="1" x14ac:dyDescent="0.25">
      <c r="A26" s="5" t="str">
        <f>HYPERLINK("#'Input - Data quality'!A1", "Data quality")</f>
        <v>Data quality</v>
      </c>
      <c r="D26" s="33"/>
      <c r="E26" s="266"/>
      <c r="F26" s="13"/>
      <c r="G26" s="13"/>
      <c r="H26" s="203"/>
      <c r="I26" s="13"/>
      <c r="J26" s="13"/>
      <c r="K26" s="203"/>
      <c r="L26" s="13"/>
      <c r="M26" s="13"/>
      <c r="N26" s="203"/>
      <c r="O26" s="13"/>
      <c r="P26" s="13"/>
      <c r="Q26" s="203"/>
    </row>
    <row r="27" spans="1:17" ht="20.100000000000001" customHeight="1" x14ac:dyDescent="0.25">
      <c r="A27"/>
      <c r="D27" s="33"/>
      <c r="E27" s="266"/>
      <c r="F27" s="13"/>
      <c r="G27" s="13"/>
      <c r="H27" s="203"/>
      <c r="I27" s="13"/>
      <c r="J27" s="13"/>
      <c r="K27" s="203"/>
      <c r="L27" s="13"/>
      <c r="M27" s="13"/>
      <c r="N27" s="203"/>
      <c r="O27" s="13"/>
      <c r="P27" s="13"/>
      <c r="Q27" s="203"/>
    </row>
    <row r="28" spans="1:17" ht="20.100000000000001" customHeight="1" x14ac:dyDescent="0.25">
      <c r="A28"/>
      <c r="D28" s="33"/>
      <c r="E28" s="266"/>
      <c r="F28" s="13"/>
      <c r="G28" s="13"/>
      <c r="H28" s="203"/>
      <c r="I28" s="13"/>
      <c r="J28" s="13"/>
      <c r="K28" s="203"/>
      <c r="L28" s="13"/>
      <c r="M28" s="13"/>
      <c r="N28" s="203"/>
      <c r="O28" s="13"/>
      <c r="P28" s="13"/>
      <c r="Q28" s="203"/>
    </row>
    <row r="29" spans="1:17" ht="20.100000000000001" customHeight="1" x14ac:dyDescent="0.25">
      <c r="A29" s="6" t="s">
        <v>2</v>
      </c>
    </row>
    <row r="30" spans="1:17" ht="20.100000000000001" customHeight="1" x14ac:dyDescent="0.25">
      <c r="A30" s="5" t="str">
        <f>HYPERLINK("#'3.3.1.1-2 Enteric Methane'!A1", "3.3.1.1-2 Enteric methane")</f>
        <v>3.3.1.1-2 Enteric methane</v>
      </c>
    </row>
    <row r="31" spans="1:17" ht="20.100000000000001" customHeight="1" x14ac:dyDescent="0.25">
      <c r="A31" s="5" t="str">
        <f>HYPERLINK("#'4.3.1.1-2 Methane'!A1", "4.3.1.1-2 Manure methane")</f>
        <v>4.3.1.1-2 Manure methane</v>
      </c>
      <c r="D31" s="260" t="s">
        <v>1179</v>
      </c>
    </row>
    <row r="32" spans="1:17" ht="20.100000000000001" customHeight="1" x14ac:dyDescent="0.25">
      <c r="A32" s="5" t="str">
        <f>HYPERLINK("#'4.3.1.3-4 Direct N20'!A1", "4.3.1.3-4 Direct N20")</f>
        <v>4.3.1.3-4 Direct N20</v>
      </c>
      <c r="D32" s="81" t="s">
        <v>1103</v>
      </c>
      <c r="E32" s="81" t="s">
        <v>1104</v>
      </c>
      <c r="F32" s="81" t="s">
        <v>1180</v>
      </c>
    </row>
    <row r="33" spans="1:6" ht="20.100000000000001" customHeight="1" x14ac:dyDescent="0.25">
      <c r="A33" s="5" t="str">
        <f>HYPERLINK("#'4.3.1.5 Atmos deposition'!A1", "4.3.1.5 Atmos deposition")</f>
        <v>4.3.1.5 Atmos deposition</v>
      </c>
      <c r="D33" s="33" t="s">
        <v>1181</v>
      </c>
      <c r="E33" s="150" t="s">
        <v>1182</v>
      </c>
      <c r="F33" s="75">
        <v>100</v>
      </c>
    </row>
    <row r="34" spans="1:6" ht="20.100000000000001" customHeight="1" x14ac:dyDescent="0.25">
      <c r="A34" s="5" t="str">
        <f>HYPERLINK("#'4.3.1.6-7 Leaching and runoff'!A1", "4.3.1.6-7 Leaching &amp; runoff")</f>
        <v>4.3.1.6-7 Leaching &amp; runoff</v>
      </c>
      <c r="D34" s="33" t="s">
        <v>1183</v>
      </c>
      <c r="E34" s="267" t="s">
        <v>1184</v>
      </c>
      <c r="F34" s="257">
        <v>100</v>
      </c>
    </row>
    <row r="35" spans="1:6" ht="20.100000000000001" customHeight="1" x14ac:dyDescent="0.25">
      <c r="A35" s="5" t="str">
        <f>HYPERLINK("#'4.3.1.8 Manure applied to soils'!A1", "4.3.1.8 Manure applied to soils")</f>
        <v>4.3.1.8 Manure applied to soils</v>
      </c>
      <c r="D35" s="33" t="s">
        <v>1185</v>
      </c>
      <c r="E35" s="267" t="s">
        <v>1186</v>
      </c>
      <c r="F35" s="257">
        <v>100</v>
      </c>
    </row>
    <row r="36" spans="1:6" ht="20.100000000000001" customHeight="1" x14ac:dyDescent="0.25">
      <c r="A36" s="5" t="str">
        <f>HYPERLINK("#'4.3.1.9 Soil direct N2O'!A1", "4.3.1.9 Soil direct N2O")</f>
        <v>4.3.1.9 Soil direct N2O</v>
      </c>
      <c r="D36" s="33" t="s">
        <v>1187</v>
      </c>
      <c r="E36" s="267" t="s">
        <v>1188</v>
      </c>
      <c r="F36" s="257">
        <v>100</v>
      </c>
    </row>
    <row r="37" spans="1:6" ht="20.100000000000001" customHeight="1" x14ac:dyDescent="0.25">
      <c r="A37" s="5" t="str">
        <f>HYPERLINK("#'4.3.1.10-11 Soil Atmos Dep'!A1", "4.3.1.10-11 Soil Atmos Deposition")</f>
        <v>4.3.1.10-11 Soil Atmos Deposition</v>
      </c>
      <c r="D37" s="33" t="s">
        <v>1181</v>
      </c>
      <c r="E37" s="267" t="s">
        <v>1182</v>
      </c>
      <c r="F37" s="257">
        <v>100</v>
      </c>
    </row>
    <row r="38" spans="1:6" ht="20.100000000000001" customHeight="1" x14ac:dyDescent="0.25">
      <c r="A38" s="5" t="str">
        <f>HYPERLINK("#'4.3.1.12-13 Soil leach runoff'!A1", "4.3.1.12-13 Soil leach &amp; runoff")</f>
        <v>4.3.1.12-13 Soil leach &amp; runoff</v>
      </c>
      <c r="D38" s="33" t="s">
        <v>1183</v>
      </c>
      <c r="E38" s="267" t="s">
        <v>1184</v>
      </c>
      <c r="F38" s="257">
        <v>100</v>
      </c>
    </row>
    <row r="39" spans="1:6" ht="20.100000000000001" customHeight="1" x14ac:dyDescent="0.25">
      <c r="A39" s="5" t="str">
        <f>HYPERLINK("#'5.1.1.1-2 Inorganic fert N2O'!A1", "5.1.1.1-2 Inorganic fert N2O")</f>
        <v>5.1.1.1-2 Inorganic fert N2O</v>
      </c>
      <c r="D39" s="33"/>
      <c r="E39" s="150"/>
      <c r="F39" s="75"/>
    </row>
    <row r="40" spans="1:6" ht="20.100000000000001" customHeight="1" x14ac:dyDescent="0.25">
      <c r="A40" s="5" t="str">
        <f>HYPERLINK("#'5.1.1.3-4 Inorganic fert CO2'!A1", "5.1.1.3-4 Inorganic fert CO2")</f>
        <v>5.1.1.3-4 Inorganic fert CO2</v>
      </c>
      <c r="D40" s="33"/>
      <c r="E40" s="150"/>
      <c r="F40" s="75"/>
    </row>
    <row r="41" spans="1:6" ht="20.100000000000001" customHeight="1" x14ac:dyDescent="0.25">
      <c r="A41" s="5" t="str">
        <f>HYPERLINK("#'5.2.1.1-2 Organic Fert N2O'!A1", "5.2.1.1-2 Organic fert N2O")</f>
        <v>5.2.1.1-2 Organic fert N2O</v>
      </c>
      <c r="D41" s="33"/>
      <c r="E41" s="150"/>
      <c r="F41" s="75"/>
    </row>
    <row r="42" spans="1:6" ht="20.100000000000001" customHeight="1" x14ac:dyDescent="0.25">
      <c r="A42" s="5" t="str">
        <f>HYPERLINK("#'5.3.1.1-2 Lime CO2'!A1", "5.3.1.1-2 Lime CO2")</f>
        <v>5.3.1.1-2 Lime CO2</v>
      </c>
      <c r="D42" s="33"/>
      <c r="E42" s="150"/>
      <c r="F42" s="75"/>
    </row>
    <row r="43" spans="1:6" ht="20.100000000000001" customHeight="1" x14ac:dyDescent="0.25">
      <c r="A43" s="5" t="str">
        <f>HYPERLINK("#'5.4.1.1-4 Atmos deposition'!A1", "5.4.1.1-4 Atmos. deposition")</f>
        <v>5.4.1.1-4 Atmos. deposition</v>
      </c>
    </row>
    <row r="44" spans="1:6" ht="20.100000000000001" customHeight="1" x14ac:dyDescent="0.25">
      <c r="A44" s="5" t="str">
        <f>HYPERLINK("#'5.5.1.1-2 Leaching and runoff'!A1", "5.5.1.1-2 Leaching &amp; runoff")</f>
        <v>5.5.1.1-2 Leaching &amp; runoff</v>
      </c>
    </row>
    <row r="45" spans="1:6" ht="20.100000000000001" customHeight="1" x14ac:dyDescent="0.25">
      <c r="A45" s="5" t="str">
        <f>HYPERLINK("#'6.2.1.1-2 Pasture residue N2O'!A1", "6.2.1.1-2 Pasture residue N2O")</f>
        <v>6.2.1.1-2 Pasture residue N2O</v>
      </c>
    </row>
    <row r="46" spans="1:6" ht="20.100000000000001" customHeight="1" x14ac:dyDescent="0.25">
      <c r="A46" s="5" t="str">
        <f>HYPERLINK("#'6.3.1.1-2 Leach runoff pasture'!A1", "6.3.1.1-2 Leach &amp; runoff (pasture)")</f>
        <v>6.3.1.1-2 Leach &amp; runoff (pasture)</v>
      </c>
      <c r="D46" s="2" t="s">
        <v>1189</v>
      </c>
      <c r="E46" s="255"/>
      <c r="F46" s="255"/>
    </row>
    <row r="47" spans="1:6" ht="20.100000000000001" customHeight="1" x14ac:dyDescent="0.25">
      <c r="A47" s="5" t="str">
        <f>HYPERLINK("#'8.1.1.1-2 Transport fuel'!A1", "8.1.1.1-2 Transport fuel")</f>
        <v>8.1.1.1-2 Transport fuel</v>
      </c>
      <c r="D47" s="1" t="str">
        <f>'Constants - Scope 3'!E202</f>
        <v>Animal ear tags (large)</v>
      </c>
      <c r="E47" s="75">
        <v>100</v>
      </c>
      <c r="F47" s="16" t="s">
        <v>1190</v>
      </c>
    </row>
    <row r="48" spans="1:6" ht="20.100000000000001" customHeight="1" x14ac:dyDescent="0.25">
      <c r="A48" s="5" t="str">
        <f>HYPERLINK("#'8.2.1.1-2 Stationary fuel'!A1", "8.2.1.1-2 Stationary fuel")</f>
        <v>8.2.1.1-2 Stationary fuel</v>
      </c>
      <c r="D48" s="1" t="str">
        <f>'Constants - Scope 3'!E203</f>
        <v>Animal ear tags (small)</v>
      </c>
      <c r="E48" s="75">
        <v>200</v>
      </c>
      <c r="F48" s="16" t="s">
        <v>1190</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c r="A53"/>
    </row>
    <row r="54" spans="1:1" ht="20.100000000000001" customHeight="1" x14ac:dyDescent="0.25">
      <c r="A54"/>
    </row>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3">
    <dataValidation type="list" allowBlank="1" showInputMessage="1" showErrorMessage="1" sqref="E33:E42" xr:uid="{5295BB94-B25D-4415-B533-036362B6BA3B}">
      <formula1>INDIRECT("Table_SourceData_Scope3_ChemicalsPharmacy[Product]")</formula1>
    </dataValidation>
    <dataValidation type="list" allowBlank="1" showInputMessage="1" showErrorMessage="1" sqref="M19:M28 P19:P28 J19:J28 G19:G28" xr:uid="{F15284F2-4BF9-4FC4-97EE-7B53F3A3196E}">
      <formula1>INDIRECT("Table_ProductRegions_" &amp; SUBSTITUTE(SUBSTITUTE(SUBSTITUTE(SUBSTITUTE(F19, " ", ""), ",", ""), "(", ""), ")", "") &amp; "[Region]")</formula1>
    </dataValidation>
    <dataValidation type="list" allowBlank="1" showInputMessage="1" showErrorMessage="1" sqref="F19:F28 I19:I28 L19:L28 O19:O28" xr:uid="{69E66AAA-9FD8-416B-A828-69F990F8F95E}">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E27CF-4B68-45A9-84F3-287ECAE2B58A}">
  <sheetPr>
    <tabColor theme="5" tint="-0.249977111117893"/>
  </sheetPr>
  <dimension ref="A1:J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4" width="46.5703125" style="1" customWidth="1"/>
    <col min="5" max="9" width="35" style="1" customWidth="1"/>
    <col min="10" max="10" width="5.28515625" style="1" customWidth="1"/>
    <col min="11" max="16384" width="9.140625" style="254"/>
  </cols>
  <sheetData>
    <row r="1" spans="1:10" s="10" customFormat="1" ht="30" customHeight="1" x14ac:dyDescent="0.35">
      <c r="C1" s="10" t="s">
        <v>1191</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row>
    <row r="6" spans="1:10" ht="20.100000000000001" customHeight="1" x14ac:dyDescent="0.25">
      <c r="A6" s="5" t="str">
        <f>HYPERLINK("#'Results'!A1", "Results")</f>
        <v>Results</v>
      </c>
      <c r="D6" s="2" t="s">
        <v>1192</v>
      </c>
    </row>
    <row r="7" spans="1:10" ht="20.100000000000001" customHeight="1" x14ac:dyDescent="0.25">
      <c r="A7"/>
    </row>
    <row r="8" spans="1:10" ht="20.100000000000001" customHeight="1" x14ac:dyDescent="0.25">
      <c r="A8"/>
      <c r="D8" s="19" t="s">
        <v>1193</v>
      </c>
      <c r="E8" s="19" t="s">
        <v>1194</v>
      </c>
      <c r="F8" s="19" t="s">
        <v>1195</v>
      </c>
      <c r="G8" s="19" t="s">
        <v>1196</v>
      </c>
      <c r="H8" s="19" t="s">
        <v>1197</v>
      </c>
    </row>
    <row r="9" spans="1:10" ht="20.100000000000001" customHeight="1" x14ac:dyDescent="0.25">
      <c r="A9" s="7" t="s">
        <v>0</v>
      </c>
      <c r="D9" s="33" t="s">
        <v>1198</v>
      </c>
      <c r="E9" s="13" t="s">
        <v>1199</v>
      </c>
      <c r="F9" s="19">
        <v>986</v>
      </c>
      <c r="G9" s="19">
        <v>10</v>
      </c>
      <c r="H9" s="19">
        <v>52</v>
      </c>
    </row>
    <row r="10" spans="1:10" ht="20.100000000000001" customHeight="1" x14ac:dyDescent="0.25">
      <c r="A10" s="5" t="str">
        <f>HYPERLINK("#'Input - Enterprise'!A1", "Enterprise")</f>
        <v>Enterprise</v>
      </c>
      <c r="D10" s="33" t="s">
        <v>1200</v>
      </c>
      <c r="E10" s="13" t="s">
        <v>1201</v>
      </c>
      <c r="F10" s="19">
        <v>65</v>
      </c>
      <c r="G10" s="19">
        <v>10</v>
      </c>
      <c r="H10" s="19">
        <v>6</v>
      </c>
    </row>
    <row r="11" spans="1:10" ht="20.100000000000001" customHeight="1" x14ac:dyDescent="0.25">
      <c r="A11" s="5" t="str">
        <f>HYPERLINK("#'Input - Site'!A1", "Site")</f>
        <v>Site</v>
      </c>
      <c r="D11" s="33"/>
      <c r="E11" s="13"/>
      <c r="F11" s="19"/>
      <c r="G11" s="19"/>
      <c r="H11" s="19"/>
    </row>
    <row r="12" spans="1:10" ht="20.100000000000001" customHeight="1" x14ac:dyDescent="0.25">
      <c r="A12" s="5" t="str">
        <f>HYPERLINK("#'Input - Dairy'!A1", "Dairy")</f>
        <v>Dairy</v>
      </c>
      <c r="D12" s="33"/>
      <c r="E12" s="13"/>
      <c r="F12" s="19"/>
      <c r="G12" s="19"/>
      <c r="H12" s="19"/>
    </row>
    <row r="13" spans="1:10" ht="20.100000000000001" customHeight="1" x14ac:dyDescent="0.25">
      <c r="A13" s="5" t="str">
        <f>HYPERLINK("#'Input - Livestock sales'!A1", "Livestock sales")</f>
        <v>Livestock sales</v>
      </c>
      <c r="D13" s="33"/>
      <c r="E13" s="13"/>
      <c r="F13" s="19"/>
      <c r="G13" s="19"/>
      <c r="H13" s="19"/>
    </row>
    <row r="14" spans="1:10" ht="20.100000000000001" customHeight="1" x14ac:dyDescent="0.25">
      <c r="A14" s="5" t="str">
        <f>HYPERLINK("#'Input - Dairy cattle purchases'!A1", "Dairy cattle purchases")</f>
        <v>Dairy cattle purchases</v>
      </c>
      <c r="D14" s="33"/>
      <c r="E14" s="13"/>
      <c r="F14" s="19"/>
      <c r="G14" s="19"/>
      <c r="H14" s="19"/>
    </row>
    <row r="15" spans="1:10" ht="20.100000000000001" customHeight="1" x14ac:dyDescent="0.25">
      <c r="A15" s="5" t="str">
        <f>HYPERLINK("#'Input - Pasture'!A1", "Pasture")</f>
        <v>Pasture</v>
      </c>
      <c r="D15" s="33"/>
      <c r="E15" s="13"/>
      <c r="F15" s="19"/>
      <c r="G15" s="19"/>
      <c r="H15" s="19"/>
    </row>
    <row r="16" spans="1:10" ht="20.100000000000001" customHeight="1" x14ac:dyDescent="0.25">
      <c r="A16" s="5" t="str">
        <f>HYPERLINK("#'Input - Fert Prod System'!A1", "Fert Prod System")</f>
        <v>Fert Prod System</v>
      </c>
      <c r="D16" s="33"/>
      <c r="E16" s="13"/>
      <c r="F16" s="19"/>
      <c r="G16" s="19"/>
      <c r="H16" s="19"/>
    </row>
    <row r="17" spans="1:8" ht="20.100000000000001" customHeight="1" x14ac:dyDescent="0.25">
      <c r="A17" s="5" t="str">
        <f>HYPERLINK("#'Input - Fertiliser'!A1", "Fertiliser")</f>
        <v>Fertiliser</v>
      </c>
      <c r="D17" s="33"/>
      <c r="E17" s="13"/>
      <c r="F17" s="19"/>
      <c r="G17" s="19"/>
      <c r="H17" s="19"/>
    </row>
    <row r="18" spans="1:8" ht="20.100000000000001" customHeight="1" x14ac:dyDescent="0.25">
      <c r="A18" s="5" t="str">
        <f>HYPERLINK("#'Input - Fuel'!A1", "Fuel")</f>
        <v>Fuel</v>
      </c>
      <c r="D18" s="33"/>
      <c r="E18" s="13"/>
      <c r="F18" s="19"/>
      <c r="G18" s="19"/>
      <c r="H18" s="19"/>
    </row>
    <row r="19" spans="1:8" ht="20.100000000000001" customHeight="1" x14ac:dyDescent="0.25">
      <c r="A19" s="5" t="str">
        <f>HYPERLINK("#'Input - Electricity'!A1", "Electricity")</f>
        <v>Electricity</v>
      </c>
    </row>
    <row r="20" spans="1:8" ht="20.100000000000001" customHeight="1" x14ac:dyDescent="0.25">
      <c r="A20" s="5" t="str">
        <f>HYPERLINK("#'Input - Common farm inputs'!A1", "Common farm inputs")</f>
        <v>Common farm inputs</v>
      </c>
    </row>
    <row r="21" spans="1:8" ht="20.100000000000001" customHeight="1" x14ac:dyDescent="0.25">
      <c r="A21" s="5" t="str">
        <f>HYPERLINK("#'Input - Crop pasture farm input'!A1", "Crop pasture farm input")</f>
        <v>Crop pasture farm input</v>
      </c>
    </row>
    <row r="22" spans="1:8" ht="20.100000000000001" customHeight="1" x14ac:dyDescent="0.25">
      <c r="A22" s="5" t="str">
        <f>HYPERLINK("#'Input - Livestock farm Inputs'!A1", "Livestock farm Inputs")</f>
        <v>Livestock farm Inputs</v>
      </c>
      <c r="D22" s="2" t="s">
        <v>1202</v>
      </c>
    </row>
    <row r="23" spans="1:8" ht="20.100000000000001" customHeight="1" x14ac:dyDescent="0.25">
      <c r="A23" s="99" t="str">
        <f>HYPERLINK("#'Input - Freight'!A1", "Freight")</f>
        <v>Freight</v>
      </c>
    </row>
    <row r="24" spans="1:8" ht="20.100000000000001" customHeight="1" x14ac:dyDescent="0.25">
      <c r="A24" s="5" t="str">
        <f>HYPERLINK("#'Input - Solid waste'!A1", "Solid waste")</f>
        <v>Solid waste</v>
      </c>
      <c r="D24" s="19" t="s">
        <v>1193</v>
      </c>
      <c r="E24" s="19" t="s">
        <v>1194</v>
      </c>
      <c r="F24" s="19" t="s">
        <v>1195</v>
      </c>
      <c r="G24" s="19" t="s">
        <v>1196</v>
      </c>
      <c r="H24" s="19" t="s">
        <v>1197</v>
      </c>
    </row>
    <row r="25" spans="1:8" ht="20.100000000000001" customHeight="1" x14ac:dyDescent="0.25">
      <c r="A25" s="5" t="str">
        <f>HYPERLINK("#'Input - Manure sent off-site'!A1", "Manure sent off-site")</f>
        <v>Manure sent off-site</v>
      </c>
      <c r="D25" s="33" t="s">
        <v>1203</v>
      </c>
      <c r="E25" s="13" t="s">
        <v>1199</v>
      </c>
      <c r="F25" s="19">
        <v>65</v>
      </c>
      <c r="G25" s="19">
        <v>20</v>
      </c>
      <c r="H25" s="19">
        <v>52</v>
      </c>
    </row>
    <row r="26" spans="1:8" ht="20.100000000000001" customHeight="1" x14ac:dyDescent="0.25">
      <c r="A26" s="5" t="str">
        <f>HYPERLINK("#'Input - Data quality'!A1", "Data quality")</f>
        <v>Data quality</v>
      </c>
      <c r="D26" s="33"/>
      <c r="E26" s="13"/>
      <c r="F26" s="19"/>
      <c r="G26" s="19"/>
      <c r="H26" s="19"/>
    </row>
    <row r="27" spans="1:8" ht="20.100000000000001" customHeight="1" x14ac:dyDescent="0.25">
      <c r="A27"/>
      <c r="D27" s="33"/>
      <c r="E27" s="13"/>
      <c r="F27" s="19"/>
      <c r="G27" s="19"/>
      <c r="H27" s="19"/>
    </row>
    <row r="28" spans="1:8" ht="20.100000000000001" customHeight="1" x14ac:dyDescent="0.25">
      <c r="A28"/>
      <c r="D28" s="33"/>
      <c r="E28" s="13"/>
      <c r="F28" s="19"/>
      <c r="G28" s="19"/>
      <c r="H28" s="19"/>
    </row>
    <row r="29" spans="1:8" ht="20.100000000000001" customHeight="1" x14ac:dyDescent="0.25">
      <c r="A29" s="6" t="s">
        <v>2</v>
      </c>
      <c r="D29" s="33"/>
      <c r="E29" s="13"/>
      <c r="F29" s="19"/>
      <c r="G29" s="19"/>
      <c r="H29" s="19"/>
    </row>
    <row r="30" spans="1:8" ht="20.100000000000001" customHeight="1" x14ac:dyDescent="0.25">
      <c r="A30" s="5" t="str">
        <f>HYPERLINK("#'3.3.1.1-2 Enteric Methane'!A1", "3.3.1.1-2 Enteric methane")</f>
        <v>3.3.1.1-2 Enteric methane</v>
      </c>
      <c r="D30" s="33"/>
      <c r="E30" s="13"/>
      <c r="F30" s="19"/>
      <c r="G30" s="19"/>
      <c r="H30" s="19"/>
    </row>
    <row r="31" spans="1:8" ht="20.100000000000001" customHeight="1" x14ac:dyDescent="0.25">
      <c r="A31" s="5" t="str">
        <f>HYPERLINK("#'4.3.1.1-2 Methane'!A1", "4.3.1.1-2 Manure methane")</f>
        <v>4.3.1.1-2 Manure methane</v>
      </c>
      <c r="D31" s="33"/>
      <c r="E31" s="13"/>
      <c r="F31" s="19"/>
      <c r="G31" s="19"/>
      <c r="H31" s="19"/>
    </row>
    <row r="32" spans="1:8" ht="20.100000000000001" customHeight="1" x14ac:dyDescent="0.25">
      <c r="A32" s="5" t="str">
        <f>HYPERLINK("#'4.3.1.3-4 Direct N20'!A1", "4.3.1.3-4 Direct N20")</f>
        <v>4.3.1.3-4 Direct N20</v>
      </c>
      <c r="D32" s="33"/>
      <c r="E32" s="13"/>
      <c r="F32" s="19"/>
      <c r="G32" s="19"/>
      <c r="H32" s="19"/>
    </row>
    <row r="33" spans="1:8" ht="20.100000000000001" customHeight="1" x14ac:dyDescent="0.25">
      <c r="A33" s="5" t="str">
        <f>HYPERLINK("#'4.3.1.5 Atmos deposition'!A1", "4.3.1.5 Atmos deposition")</f>
        <v>4.3.1.5 Atmos deposition</v>
      </c>
      <c r="D33" s="33"/>
      <c r="E33" s="13"/>
      <c r="F33" s="19"/>
      <c r="G33" s="19"/>
      <c r="H33" s="19"/>
    </row>
    <row r="34" spans="1:8" ht="20.100000000000001" customHeight="1" x14ac:dyDescent="0.25">
      <c r="A34" s="5" t="str">
        <f>HYPERLINK("#'4.3.1.6-7 Leaching and runoff'!A1", "4.3.1.6-7 Leaching &amp; runoff")</f>
        <v>4.3.1.6-7 Leaching &amp; runoff</v>
      </c>
      <c r="D34" s="33"/>
      <c r="E34" s="13"/>
      <c r="F34" s="19"/>
      <c r="G34" s="19"/>
      <c r="H34" s="19"/>
    </row>
    <row r="35" spans="1:8" ht="20.100000000000001" customHeight="1" x14ac:dyDescent="0.25">
      <c r="A35" s="5" t="str">
        <f>HYPERLINK("#'4.3.1.8 Manure applied to soils'!A1", "4.3.1.8 Manure applied to soils")</f>
        <v>4.3.1.8 Manure applied to soils</v>
      </c>
    </row>
    <row r="36" spans="1:8" ht="20.100000000000001" customHeight="1" x14ac:dyDescent="0.25">
      <c r="A36" s="5" t="str">
        <f>HYPERLINK("#'4.3.1.9 Soil direct N2O'!A1", "4.3.1.9 Soil direct N2O")</f>
        <v>4.3.1.9 Soil direct N2O</v>
      </c>
    </row>
    <row r="37" spans="1:8" ht="20.100000000000001" customHeight="1" x14ac:dyDescent="0.25">
      <c r="A37" s="5" t="str">
        <f>HYPERLINK("#'4.3.1.10-11 Soil Atmos Dep'!A1", "4.3.1.10-11 Soil Atmos Deposition")</f>
        <v>4.3.1.10-11 Soil Atmos Deposition</v>
      </c>
    </row>
    <row r="38" spans="1:8" ht="20.100000000000001" customHeight="1" x14ac:dyDescent="0.25">
      <c r="A38" s="5" t="str">
        <f>HYPERLINK("#'4.3.1.12-13 Soil leach runoff'!A1", "4.3.1.12-13 Soil leach &amp; runoff")</f>
        <v>4.3.1.12-13 Soil leach &amp; runoff</v>
      </c>
    </row>
    <row r="39" spans="1:8" ht="20.100000000000001" customHeight="1" x14ac:dyDescent="0.25">
      <c r="A39" s="5" t="str">
        <f>HYPERLINK("#'5.1.1.1-2 Inorganic fert N2O'!A1", "5.1.1.1-2 Inorganic fert N2O")</f>
        <v>5.1.1.1-2 Inorganic fert N2O</v>
      </c>
    </row>
    <row r="40" spans="1:8" ht="20.100000000000001" customHeight="1" x14ac:dyDescent="0.25">
      <c r="A40" s="5" t="str">
        <f>HYPERLINK("#'5.1.1.3-4 Inorganic fert CO2'!A1", "5.1.1.3-4 Inorganic fert CO2")</f>
        <v>5.1.1.3-4 Inorganic fert CO2</v>
      </c>
    </row>
    <row r="41" spans="1:8" ht="20.100000000000001" customHeight="1" x14ac:dyDescent="0.25">
      <c r="A41" s="5" t="str">
        <f>HYPERLINK("#'5.2.1.1-2 Organic Fert N2O'!A1", "5.2.1.1-2 Organic fert N2O")</f>
        <v>5.2.1.1-2 Organic fert N2O</v>
      </c>
    </row>
    <row r="42" spans="1:8" ht="20.100000000000001" customHeight="1" x14ac:dyDescent="0.25">
      <c r="A42" s="5" t="str">
        <f>HYPERLINK("#'5.3.1.1-2 Lime CO2'!A1", "5.3.1.1-2 Lime CO2")</f>
        <v>5.3.1.1-2 Lime CO2</v>
      </c>
    </row>
    <row r="43" spans="1:8" ht="20.100000000000001" customHeight="1" x14ac:dyDescent="0.25">
      <c r="A43" s="5" t="str">
        <f>HYPERLINK("#'5.4.1.1-4 Atmos deposition'!A1", "5.4.1.1-4 Atmos. deposition")</f>
        <v>5.4.1.1-4 Atmos. deposition</v>
      </c>
    </row>
    <row r="44" spans="1:8" ht="20.100000000000001" customHeight="1" x14ac:dyDescent="0.25">
      <c r="A44" s="5" t="str">
        <f>HYPERLINK("#'5.5.1.1-2 Leaching and runoff'!A1", "5.5.1.1-2 Leaching &amp; runoff")</f>
        <v>5.5.1.1-2 Leaching &amp; runoff</v>
      </c>
    </row>
    <row r="45" spans="1:8" ht="20.100000000000001" customHeight="1" x14ac:dyDescent="0.25">
      <c r="A45" s="5" t="str">
        <f>HYPERLINK("#'6.2.1.1-2 Pasture residue N2O'!A1", "6.2.1.1-2 Pasture residue N2O")</f>
        <v>6.2.1.1-2 Pasture residue N2O</v>
      </c>
    </row>
    <row r="46" spans="1:8" ht="20.100000000000001" customHeight="1" x14ac:dyDescent="0.25">
      <c r="A46" s="5" t="str">
        <f>HYPERLINK("#'6.3.1.1-2 Leach runoff pasture'!A1", "6.3.1.1-2 Leach &amp; runoff (pasture)")</f>
        <v>6.3.1.1-2 Leach &amp; runoff (pasture)</v>
      </c>
    </row>
    <row r="47" spans="1:8" ht="20.100000000000001" customHeight="1" x14ac:dyDescent="0.25">
      <c r="A47" s="5" t="str">
        <f>HYPERLINK("#'8.1.1.1-2 Transport fuel'!A1", "8.1.1.1-2 Transport fuel")</f>
        <v>8.1.1.1-2 Transport fuel</v>
      </c>
    </row>
    <row r="48" spans="1:8"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x14ac:dyDescent="0.25">
      <c r="A52" s="5" t="str">
        <f>HYPERLINK("#'Calcs - Manure sent off-site'!A1", "Calcs - Manure sent off-site")</f>
        <v>Calcs - Manure sent off-site</v>
      </c>
    </row>
    <row r="53" spans="1:1" x14ac:dyDescent="0.25">
      <c r="A53"/>
    </row>
    <row r="54" spans="1:1" x14ac:dyDescent="0.25">
      <c r="A54"/>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A7755AB9-800F-45F3-8B7B-E80A2F9613DB}">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AC80-6BB6-46FD-8DF0-CE3F64F18E20}">
  <sheetPr>
    <tabColor theme="5" tint="-0.249977111117893"/>
  </sheetPr>
  <dimension ref="A1:L38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963</v>
      </c>
    </row>
    <row r="2" spans="1:10" s="3" customFormat="1" ht="20.100000000000001" customHeight="1" x14ac:dyDescent="0.25">
      <c r="A2"/>
    </row>
    <row r="3" spans="1:10" ht="20.100000000000001" customHeight="1" x14ac:dyDescent="0.25">
      <c r="A3" s="5" t="str">
        <f>HYPERLINK("#'Home'!A1", "Home")</f>
        <v>Home</v>
      </c>
      <c r="C3" s="28"/>
      <c r="D3" s="28"/>
      <c r="E3" s="28"/>
      <c r="F3" s="28"/>
      <c r="G3" s="28"/>
      <c r="H3" s="28"/>
      <c r="I3" s="28"/>
      <c r="J3" s="28"/>
    </row>
    <row r="4" spans="1:10" ht="20.100000000000001" customHeight="1" x14ac:dyDescent="0.25">
      <c r="A4" s="5" t="str">
        <f>HYPERLINK("#'Results - Activity period'!A1", "Results - Activity period")</f>
        <v>Results - Activity period</v>
      </c>
    </row>
    <row r="5" spans="1:10" ht="20.100000000000001" customHeight="1" x14ac:dyDescent="0.25">
      <c r="A5" s="5" t="str">
        <f>HYPERLINK("#'Results - Product EI'!A1", "Results - Product Emissions Intensity")</f>
        <v>Results - Product Emissions Intensity</v>
      </c>
      <c r="D5" s="2" t="s">
        <v>964</v>
      </c>
    </row>
    <row r="6" spans="1:10" ht="20.100000000000001" customHeight="1" x14ac:dyDescent="0.25">
      <c r="A6" s="5" t="str">
        <f>HYPERLINK("#'Results'!A1", "Results")</f>
        <v>Results</v>
      </c>
    </row>
    <row r="7" spans="1:10" ht="20.100000000000001" customHeight="1" x14ac:dyDescent="0.25">
      <c r="D7" s="35" t="s">
        <v>840</v>
      </c>
      <c r="E7" s="38"/>
    </row>
    <row r="8" spans="1:10" ht="20.100000000000001" customHeight="1" x14ac:dyDescent="0.25"/>
    <row r="9" spans="1:10" ht="20.100000000000001" customHeight="1" x14ac:dyDescent="0.25">
      <c r="A9" s="7" t="s">
        <v>0</v>
      </c>
      <c r="D9" s="81" t="s">
        <v>202</v>
      </c>
      <c r="E9" s="81" t="s">
        <v>965</v>
      </c>
      <c r="F9" s="81" t="s">
        <v>966</v>
      </c>
      <c r="G9" s="81" t="s">
        <v>967</v>
      </c>
      <c r="H9" s="81" t="s">
        <v>968</v>
      </c>
      <c r="I9" s="81" t="s">
        <v>969</v>
      </c>
    </row>
    <row r="10" spans="1:10" ht="20.100000000000001" customHeight="1" x14ac:dyDescent="0.25">
      <c r="A10" s="5" t="str">
        <f>HYPERLINK("#'Input - Enterprise'!A1", "Enterprise")</f>
        <v>Enterprise</v>
      </c>
      <c r="D10" s="33" t="s">
        <v>970</v>
      </c>
      <c r="E10" s="13" t="s">
        <v>971</v>
      </c>
      <c r="F10" s="13" t="s">
        <v>972</v>
      </c>
      <c r="G10" s="13" t="s">
        <v>973</v>
      </c>
      <c r="H10" s="75">
        <v>50</v>
      </c>
      <c r="I10" s="13" t="s">
        <v>19</v>
      </c>
    </row>
    <row r="11" spans="1:10" ht="20.100000000000001" customHeight="1" x14ac:dyDescent="0.25">
      <c r="A11" s="5" t="str">
        <f>HYPERLINK("#'Input - Site'!A1", "Site")</f>
        <v>Site</v>
      </c>
      <c r="D11" s="33" t="s">
        <v>974</v>
      </c>
      <c r="E11" s="13" t="s">
        <v>971</v>
      </c>
      <c r="F11" s="13" t="s">
        <v>972</v>
      </c>
      <c r="G11" s="13" t="s">
        <v>975</v>
      </c>
      <c r="H11" s="75">
        <v>50</v>
      </c>
      <c r="I11" s="13" t="s">
        <v>976</v>
      </c>
    </row>
    <row r="12" spans="1:10" ht="20.100000000000001" customHeight="1" x14ac:dyDescent="0.25">
      <c r="A12" s="5" t="str">
        <f>HYPERLINK("#'Input - Dairy'!A1", "Dairy")</f>
        <v>Dairy</v>
      </c>
      <c r="D12" s="33" t="s">
        <v>977</v>
      </c>
      <c r="E12" s="13" t="s">
        <v>971</v>
      </c>
      <c r="F12" s="13" t="s">
        <v>978</v>
      </c>
      <c r="G12" s="13" t="s">
        <v>973</v>
      </c>
      <c r="H12" s="75">
        <v>50</v>
      </c>
      <c r="I12" s="13" t="s">
        <v>19</v>
      </c>
    </row>
    <row r="13" spans="1:10" ht="20.100000000000001" customHeight="1" x14ac:dyDescent="0.25">
      <c r="A13" s="5" t="str">
        <f>HYPERLINK("#'Input - Livestock sales'!A1", "Livestock sales")</f>
        <v>Livestock sales</v>
      </c>
      <c r="D13" s="33" t="s">
        <v>979</v>
      </c>
      <c r="E13" s="13" t="s">
        <v>971</v>
      </c>
      <c r="F13" s="13" t="s">
        <v>978</v>
      </c>
      <c r="G13" s="13" t="s">
        <v>975</v>
      </c>
      <c r="H13" s="75">
        <v>50</v>
      </c>
      <c r="I13" s="13" t="s">
        <v>976</v>
      </c>
    </row>
    <row r="14" spans="1:10" ht="20.100000000000001" customHeight="1" x14ac:dyDescent="0.25">
      <c r="A14" s="5" t="str">
        <f>HYPERLINK("#'Input - Dairy cattle purchases'!A1", "Dairy cattle purchases")</f>
        <v>Dairy cattle purchases</v>
      </c>
      <c r="D14" s="33" t="s">
        <v>980</v>
      </c>
      <c r="E14" s="13" t="s">
        <v>981</v>
      </c>
      <c r="F14" s="13" t="s">
        <v>978</v>
      </c>
      <c r="G14" s="13" t="s">
        <v>973</v>
      </c>
      <c r="H14" s="75">
        <v>50</v>
      </c>
      <c r="I14" s="13" t="s">
        <v>19</v>
      </c>
    </row>
    <row r="15" spans="1:10" ht="20.100000000000001" customHeight="1" x14ac:dyDescent="0.25">
      <c r="A15" s="5" t="str">
        <f>HYPERLINK("#'Input - Pasture'!A1", "Pasture")</f>
        <v>Pasture</v>
      </c>
      <c r="D15" s="33" t="s">
        <v>982</v>
      </c>
      <c r="E15" s="13" t="s">
        <v>981</v>
      </c>
      <c r="F15" s="13" t="s">
        <v>978</v>
      </c>
      <c r="G15" s="13" t="s">
        <v>973</v>
      </c>
      <c r="H15" s="75">
        <v>50</v>
      </c>
      <c r="I15" s="13" t="s">
        <v>976</v>
      </c>
    </row>
    <row r="16" spans="1:10" ht="20.100000000000001" customHeight="1" x14ac:dyDescent="0.25">
      <c r="A16" s="5" t="str">
        <f>HYPERLINK("#'Input - Fert Prod System'!A1", "Fert Prod System")</f>
        <v>Fert Prod System</v>
      </c>
      <c r="D16" s="33" t="s">
        <v>983</v>
      </c>
      <c r="E16" s="13" t="s">
        <v>981</v>
      </c>
      <c r="F16" s="13" t="s">
        <v>978</v>
      </c>
      <c r="G16" s="13" t="s">
        <v>975</v>
      </c>
      <c r="H16" s="75">
        <v>50</v>
      </c>
      <c r="I16" s="13" t="s">
        <v>19</v>
      </c>
    </row>
    <row r="17" spans="1:11" ht="20.100000000000001" customHeight="1" x14ac:dyDescent="0.25">
      <c r="A17" s="5" t="str">
        <f>HYPERLINK("#'Input - Fertiliser'!A1", "Fertiliser")</f>
        <v>Fertiliser</v>
      </c>
      <c r="D17" s="33" t="s">
        <v>984</v>
      </c>
      <c r="E17" s="13" t="s">
        <v>981</v>
      </c>
      <c r="F17" s="13" t="s">
        <v>978</v>
      </c>
      <c r="G17" s="13" t="s">
        <v>975</v>
      </c>
      <c r="H17" s="75">
        <v>50</v>
      </c>
      <c r="I17" s="13" t="s">
        <v>976</v>
      </c>
    </row>
    <row r="18" spans="1:11" ht="20.100000000000001" customHeight="1" x14ac:dyDescent="0.25">
      <c r="A18" s="5" t="str">
        <f>HYPERLINK("#'Input - Fuel'!A1", "Fuel")</f>
        <v>Fuel</v>
      </c>
      <c r="D18" s="33" t="s">
        <v>985</v>
      </c>
      <c r="E18" s="13" t="s">
        <v>981</v>
      </c>
      <c r="F18" s="13" t="s">
        <v>972</v>
      </c>
      <c r="G18" s="13" t="s">
        <v>973</v>
      </c>
      <c r="H18" s="75">
        <v>50</v>
      </c>
      <c r="I18" s="13" t="s">
        <v>19</v>
      </c>
    </row>
    <row r="19" spans="1:11" ht="20.100000000000001" customHeight="1" x14ac:dyDescent="0.25">
      <c r="A19" s="5" t="str">
        <f>HYPERLINK("#'Input - Electricity'!A1", "Electricity")</f>
        <v>Electricity</v>
      </c>
      <c r="D19" s="33" t="s">
        <v>986</v>
      </c>
      <c r="E19" s="13" t="s">
        <v>981</v>
      </c>
      <c r="F19" s="13" t="s">
        <v>972</v>
      </c>
      <c r="G19" s="13" t="s">
        <v>973</v>
      </c>
      <c r="H19" s="75">
        <v>50</v>
      </c>
      <c r="I19" s="13" t="s">
        <v>976</v>
      </c>
    </row>
    <row r="20" spans="1:11" ht="20.100000000000001" customHeight="1" x14ac:dyDescent="0.25">
      <c r="A20" s="5" t="str">
        <f>HYPERLINK("#'Input - Common farm inputs'!A1", "Common farm inputs")</f>
        <v>Common farm inputs</v>
      </c>
      <c r="D20" s="33" t="s">
        <v>987</v>
      </c>
      <c r="E20" s="13" t="s">
        <v>981</v>
      </c>
      <c r="F20" s="13" t="s">
        <v>972</v>
      </c>
      <c r="G20" s="13" t="s">
        <v>975</v>
      </c>
      <c r="H20" s="75">
        <v>50</v>
      </c>
      <c r="I20" s="13" t="s">
        <v>19</v>
      </c>
    </row>
    <row r="21" spans="1:11" ht="20.100000000000001" customHeight="1" x14ac:dyDescent="0.25">
      <c r="A21" s="5" t="str">
        <f>HYPERLINK("#'Input - Crop pasture farm input'!A1", "Crop pasture farm input")</f>
        <v>Crop pasture farm input</v>
      </c>
      <c r="D21" s="33" t="s">
        <v>988</v>
      </c>
      <c r="E21" s="13" t="s">
        <v>981</v>
      </c>
      <c r="F21" s="13" t="s">
        <v>972</v>
      </c>
      <c r="G21" s="13" t="s">
        <v>975</v>
      </c>
      <c r="H21" s="75">
        <v>50</v>
      </c>
      <c r="I21" s="13" t="s">
        <v>976</v>
      </c>
    </row>
    <row r="22" spans="1:11" ht="20.100000000000001" customHeight="1" x14ac:dyDescent="0.25">
      <c r="A22" s="5" t="str">
        <f>HYPERLINK("#'Input - Livestock farm Inputs'!A1", "Livestock farm Inputs")</f>
        <v>Livestock farm Inputs</v>
      </c>
      <c r="D22" s="33" t="s">
        <v>989</v>
      </c>
      <c r="E22" s="13" t="s">
        <v>981</v>
      </c>
      <c r="F22" s="13" t="s">
        <v>990</v>
      </c>
      <c r="G22" s="13" t="s">
        <v>973</v>
      </c>
      <c r="H22" s="75">
        <v>50</v>
      </c>
      <c r="I22" s="13" t="s">
        <v>19</v>
      </c>
    </row>
    <row r="23" spans="1:11" ht="20.100000000000001" customHeight="1" x14ac:dyDescent="0.25">
      <c r="A23" s="5" t="str">
        <f>HYPERLINK("#'Input - Freight'!A1", "Freight")</f>
        <v>Freight</v>
      </c>
      <c r="D23" s="33" t="s">
        <v>991</v>
      </c>
      <c r="E23" s="13" t="s">
        <v>981</v>
      </c>
      <c r="F23" s="13" t="s">
        <v>990</v>
      </c>
      <c r="G23" s="13" t="s">
        <v>973</v>
      </c>
      <c r="H23" s="75">
        <v>50</v>
      </c>
      <c r="I23" s="13" t="s">
        <v>976</v>
      </c>
    </row>
    <row r="24" spans="1:11" ht="20.100000000000001" customHeight="1" x14ac:dyDescent="0.25">
      <c r="A24" s="99" t="str">
        <f>HYPERLINK("#'Input - Solid waste'!A1", "Solid waste")</f>
        <v>Solid waste</v>
      </c>
      <c r="D24" s="33" t="s">
        <v>992</v>
      </c>
      <c r="E24" s="13" t="s">
        <v>981</v>
      </c>
      <c r="F24" s="13" t="s">
        <v>990</v>
      </c>
      <c r="G24" s="13" t="s">
        <v>975</v>
      </c>
      <c r="H24" s="75">
        <v>50</v>
      </c>
      <c r="I24" s="13" t="s">
        <v>19</v>
      </c>
    </row>
    <row r="25" spans="1:11" ht="20.100000000000001" customHeight="1" x14ac:dyDescent="0.25">
      <c r="A25" s="5" t="str">
        <f>HYPERLINK("#'Input - Manure sent off-site'!A1", "Manure sent off-site")</f>
        <v>Manure sent off-site</v>
      </c>
      <c r="D25" s="33" t="s">
        <v>993</v>
      </c>
      <c r="E25" s="13" t="s">
        <v>981</v>
      </c>
      <c r="F25" s="13" t="s">
        <v>990</v>
      </c>
      <c r="G25" s="13" t="s">
        <v>975</v>
      </c>
      <c r="H25" s="75">
        <v>50</v>
      </c>
      <c r="I25" s="13" t="s">
        <v>976</v>
      </c>
    </row>
    <row r="26" spans="1:11" ht="20.100000000000001" customHeight="1" x14ac:dyDescent="0.25">
      <c r="A26" s="5" t="str">
        <f>HYPERLINK("#'Input - Data quality'!A1", "Data quality")</f>
        <v>Data quality</v>
      </c>
      <c r="D26" s="33" t="s">
        <v>994</v>
      </c>
      <c r="E26" s="13" t="s">
        <v>995</v>
      </c>
      <c r="F26" s="13" t="s">
        <v>972</v>
      </c>
      <c r="G26" s="13" t="s">
        <v>975</v>
      </c>
      <c r="H26" s="75">
        <v>50</v>
      </c>
      <c r="I26" s="13" t="s">
        <v>19</v>
      </c>
    </row>
    <row r="27" spans="1:11" ht="20.100000000000001" customHeight="1" x14ac:dyDescent="0.25">
      <c r="D27" s="33" t="s">
        <v>996</v>
      </c>
      <c r="E27" s="13" t="s">
        <v>995</v>
      </c>
      <c r="F27" s="13" t="s">
        <v>972</v>
      </c>
      <c r="G27" s="13" t="s">
        <v>975</v>
      </c>
      <c r="H27" s="75">
        <v>50</v>
      </c>
      <c r="I27" s="13" t="s">
        <v>976</v>
      </c>
    </row>
    <row r="28" spans="1:11" ht="20.100000000000001" customHeight="1" x14ac:dyDescent="0.25">
      <c r="D28" s="33" t="s">
        <v>997</v>
      </c>
      <c r="E28" s="13" t="s">
        <v>995</v>
      </c>
      <c r="F28" s="13" t="s">
        <v>990</v>
      </c>
      <c r="G28" s="13" t="s">
        <v>975</v>
      </c>
      <c r="H28" s="75">
        <v>50</v>
      </c>
      <c r="I28" s="13" t="s">
        <v>19</v>
      </c>
    </row>
    <row r="29" spans="1:11" ht="20.100000000000001" customHeight="1" x14ac:dyDescent="0.25">
      <c r="A29" s="6" t="s">
        <v>2</v>
      </c>
      <c r="D29" s="33" t="s">
        <v>998</v>
      </c>
      <c r="E29" s="13" t="s">
        <v>995</v>
      </c>
      <c r="F29" s="13" t="s">
        <v>990</v>
      </c>
      <c r="G29" s="13" t="s">
        <v>975</v>
      </c>
      <c r="H29" s="75">
        <v>50</v>
      </c>
      <c r="I29" s="13" t="s">
        <v>976</v>
      </c>
      <c r="K29" s="172"/>
    </row>
    <row r="30" spans="1:11" ht="20.100000000000001" customHeight="1" x14ac:dyDescent="0.25">
      <c r="A30" s="5" t="str">
        <f>HYPERLINK("#'3.3.1.1-2 Enteric Methane'!A1", "3.3.1.1-2 Enteric methane")</f>
        <v>3.3.1.1-2 Enteric methane</v>
      </c>
      <c r="D30" s="33" t="s">
        <v>999</v>
      </c>
      <c r="E30" s="13" t="s">
        <v>995</v>
      </c>
      <c r="F30" s="13" t="s">
        <v>990</v>
      </c>
      <c r="G30" s="13" t="s">
        <v>973</v>
      </c>
      <c r="H30" s="75">
        <v>50</v>
      </c>
      <c r="I30" s="13" t="s">
        <v>19</v>
      </c>
      <c r="K30" s="172"/>
    </row>
    <row r="31" spans="1:11" ht="20.100000000000001" customHeight="1" x14ac:dyDescent="0.25">
      <c r="A31" s="5" t="str">
        <f>HYPERLINK("#'4.3.1.1-2 Methane'!A1", "4.3.1.1-2 Manure methane")</f>
        <v>4.3.1.1-2 Manure methane</v>
      </c>
      <c r="D31" s="33" t="s">
        <v>1000</v>
      </c>
      <c r="E31" s="13" t="s">
        <v>995</v>
      </c>
      <c r="F31" s="13" t="s">
        <v>990</v>
      </c>
      <c r="G31" s="13" t="s">
        <v>973</v>
      </c>
      <c r="H31" s="75">
        <v>50</v>
      </c>
      <c r="I31" s="13" t="s">
        <v>976</v>
      </c>
      <c r="K31" s="172"/>
    </row>
    <row r="32" spans="1:11" ht="20.100000000000001" customHeight="1" x14ac:dyDescent="0.25">
      <c r="A32" s="5" t="str">
        <f>HYPERLINK("#'4.3.1.3-4 Direct N20'!A1", "4.3.1.3-4 Direct N20")</f>
        <v>4.3.1.3-4 Direct N20</v>
      </c>
      <c r="D32" s="33" t="s">
        <v>998</v>
      </c>
      <c r="E32" s="13" t="s">
        <v>995</v>
      </c>
      <c r="F32" s="13" t="s">
        <v>990</v>
      </c>
      <c r="G32" s="13" t="s">
        <v>975</v>
      </c>
      <c r="H32" s="75">
        <v>50</v>
      </c>
      <c r="I32" s="13" t="s">
        <v>976</v>
      </c>
      <c r="K32" s="172"/>
    </row>
    <row r="33" spans="1:12" ht="20.100000000000001" customHeight="1" x14ac:dyDescent="0.25">
      <c r="A33" s="5" t="str">
        <f>HYPERLINK("#'4.3.1.5 Atmos deposition'!A1", "4.3.1.5 Atmos deposition")</f>
        <v>4.3.1.5 Atmos deposition</v>
      </c>
      <c r="K33" s="172"/>
    </row>
    <row r="34" spans="1:12" ht="20.100000000000001" customHeight="1" x14ac:dyDescent="0.25">
      <c r="A34" s="5" t="str">
        <f>HYPERLINK("#'4.3.1.6-7 Leaching and runoff'!A1", "4.3.1.6-7 Leaching &amp; runoff")</f>
        <v>4.3.1.6-7 Leaching &amp; runoff</v>
      </c>
      <c r="K34" s="172"/>
    </row>
    <row r="35" spans="1:12" ht="20.100000000000001" customHeight="1" x14ac:dyDescent="0.25">
      <c r="A35" s="5" t="str">
        <f>HYPERLINK("#'4.3.1.8 Manure applied to soils'!A1", "4.3.1.8 Manure applied to soils")</f>
        <v>4.3.1.8 Manure applied to soils</v>
      </c>
    </row>
    <row r="36" spans="1:12" ht="20.100000000000001" customHeight="1" x14ac:dyDescent="0.25">
      <c r="A36" s="5" t="str">
        <f>HYPERLINK("#'4.3.1.9 Soil direct N2O'!A1", "4.3.1.9 Soil direct N2O")</f>
        <v>4.3.1.9 Soil direct N2O</v>
      </c>
      <c r="L36" s="172"/>
    </row>
    <row r="37" spans="1:12" ht="20.100000000000001" customHeight="1" x14ac:dyDescent="0.25">
      <c r="A37" s="5" t="str">
        <f>HYPERLINK("#'4.3.1.10-11 Soil Atmos Dep'!A1", "4.3.1.10-11 Soil Atmos Deposition")</f>
        <v>4.3.1.10-11 Soil Atmos Deposition</v>
      </c>
      <c r="L37" s="172"/>
    </row>
    <row r="38" spans="1:12" ht="20.100000000000001" customHeight="1" x14ac:dyDescent="0.25">
      <c r="A38" s="5" t="str">
        <f>HYPERLINK("#'4.3.1.12-13 Soil leach runoff'!A1", "4.3.1.12-13 Soil leach &amp; runoff")</f>
        <v>4.3.1.12-13 Soil leach &amp; runoff</v>
      </c>
      <c r="C38" s="160"/>
    </row>
    <row r="39" spans="1:12" ht="20.100000000000001" customHeight="1" x14ac:dyDescent="0.25">
      <c r="A39" s="5" t="str">
        <f>HYPERLINK("#'5.1.1.1-2 Inorganic fert N2O'!A1", "5.1.1.1-2 Inorganic fert N2O")</f>
        <v>5.1.1.1-2 Inorganic fert N2O</v>
      </c>
      <c r="C39" s="160"/>
      <c r="J39" s="160"/>
    </row>
    <row r="40" spans="1:12" s="172" customFormat="1" ht="20.100000000000001" customHeight="1" x14ac:dyDescent="0.25">
      <c r="A40" s="5" t="str">
        <f>HYPERLINK("#'5.1.1.3-4 Inorganic fert CO2'!A1", "5.1.1.3-4 Inorganic fert CO2")</f>
        <v>5.1.1.3-4 Inorganic fert CO2</v>
      </c>
      <c r="C40" s="1"/>
      <c r="D40" s="1"/>
      <c r="E40" s="1"/>
      <c r="F40" s="1"/>
      <c r="G40" s="1"/>
      <c r="H40" s="1"/>
      <c r="I40" s="1"/>
      <c r="J40" s="1"/>
    </row>
    <row r="41" spans="1:12" s="172" customFormat="1" ht="20.100000000000001" customHeight="1" x14ac:dyDescent="0.25">
      <c r="A41" s="5" t="str">
        <f>HYPERLINK("#'5.2.1.1-2 Organic Fert N2O'!A1", "5.2.1.1-2 Organic fert N2O")</f>
        <v>5.2.1.1-2 Organic fert N2O</v>
      </c>
      <c r="C41" s="1"/>
      <c r="D41" s="1"/>
      <c r="E41" s="1"/>
      <c r="F41" s="1"/>
      <c r="G41" s="1"/>
      <c r="H41" s="1"/>
      <c r="I41" s="1"/>
      <c r="J41" s="1"/>
      <c r="L41" s="172" t="s">
        <v>568</v>
      </c>
    </row>
    <row r="42" spans="1:12" ht="20.100000000000001" customHeight="1" x14ac:dyDescent="0.25">
      <c r="A42" s="5" t="str">
        <f>HYPERLINK("#'5.3.1.1-2 Lime CO2'!A1", "5.3.1.1-2 Lime CO2")</f>
        <v>5.3.1.1-2 Lime CO2</v>
      </c>
    </row>
    <row r="43" spans="1:12" ht="20.100000000000001" customHeight="1" x14ac:dyDescent="0.25">
      <c r="A43" s="5" t="str">
        <f>HYPERLINK("#'5.4.1.1-4 Atmos deposition'!A1", "5.4.1.1-4 Atmos. deposition")</f>
        <v>5.4.1.1-4 Atmos. deposition</v>
      </c>
    </row>
    <row r="44" spans="1:12" ht="20.100000000000001" customHeight="1" x14ac:dyDescent="0.25">
      <c r="A44" s="5" t="str">
        <f>HYPERLINK("#'5.5.1.1-2 Leaching and runoff'!A1", "5.5.1.1-2 Leaching &amp; runoff")</f>
        <v>5.5.1.1-2 Leaching &amp; runoff</v>
      </c>
    </row>
    <row r="45" spans="1:12" ht="20.100000000000001" customHeight="1" x14ac:dyDescent="0.25">
      <c r="A45" s="5" t="str">
        <f>HYPERLINK("#'6.2.1.1-2 Pasture residue N2O'!A1", "6.2.1.1-2 Pasture residue N2O")</f>
        <v>6.2.1.1-2 Pasture residue N2O</v>
      </c>
    </row>
    <row r="46" spans="1:12" ht="20.100000000000001" customHeight="1" x14ac:dyDescent="0.25">
      <c r="A46" s="5" t="str">
        <f>HYPERLINK("#'6.3.1.1-2 Leach runoff pasture'!A1", "6.3.1.1-2 Leach &amp; runoff (pasture)")</f>
        <v>6.3.1.1-2 Leach &amp; runoff (pasture)</v>
      </c>
    </row>
    <row r="47" spans="1:12" ht="20.100000000000001" customHeight="1" x14ac:dyDescent="0.25">
      <c r="A47" s="5" t="str">
        <f>HYPERLINK("#'8.1.1.1-2 Transport fuel'!A1", "8.1.1.1-2 Transport fuel")</f>
        <v>8.1.1.1-2 Transport fuel</v>
      </c>
    </row>
    <row r="48" spans="1:12"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4" ht="20.100000000000001" customHeight="1" x14ac:dyDescent="0.25">
      <c r="A65" s="5" t="str">
        <f>HYPERLINK("#'Acknowledgements'!A1", "Acknowledgements")</f>
        <v>Acknowledgements</v>
      </c>
    </row>
    <row r="66" spans="1:4" ht="20.100000000000001" customHeight="1" x14ac:dyDescent="0.25"/>
    <row r="67" spans="1:4" ht="20.100000000000001" customHeight="1" x14ac:dyDescent="0.25"/>
    <row r="68" spans="1:4" ht="20.100000000000001" customHeight="1" x14ac:dyDescent="0.25"/>
    <row r="69" spans="1:4" ht="20.100000000000001" customHeight="1" x14ac:dyDescent="0.25"/>
    <row r="70" spans="1:4" ht="20.100000000000001" customHeight="1" x14ac:dyDescent="0.25"/>
    <row r="71" spans="1:4" ht="20.100000000000001" customHeight="1" x14ac:dyDescent="0.25"/>
    <row r="72" spans="1:4" ht="20.100000000000001" customHeight="1" x14ac:dyDescent="0.25"/>
    <row r="73" spans="1:4" ht="20.100000000000001" customHeight="1" x14ac:dyDescent="0.25">
      <c r="D73" s="199"/>
    </row>
    <row r="74" spans="1:4" ht="20.100000000000001" customHeight="1" x14ac:dyDescent="0.25"/>
    <row r="75" spans="1:4" ht="20.100000000000001" customHeight="1" x14ac:dyDescent="0.25">
      <c r="D75" s="199"/>
    </row>
    <row r="76" spans="1:4" ht="20.100000000000001" customHeight="1" x14ac:dyDescent="0.25">
      <c r="D76" s="199"/>
    </row>
    <row r="77" spans="1:4" ht="20.100000000000001" customHeight="1" x14ac:dyDescent="0.25"/>
    <row r="78" spans="1:4" ht="20.100000000000001" customHeight="1" x14ac:dyDescent="0.25"/>
    <row r="79" spans="1:4" ht="20.100000000000001" customHeight="1" x14ac:dyDescent="0.25"/>
    <row r="80" spans="1: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79"/>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589F6F69-6FEB-4D81-A894-D3D592C610E2}">
      <formula1>INDIRECT("Table_WasteTypes_" &amp; SUBSTITUTE(E10, " ", "") &amp; "[Waste type w]")</formula1>
    </dataValidation>
    <dataValidation type="list" allowBlank="1" showInputMessage="1" showErrorMessage="1" sqref="I10:I32" xr:uid="{B588D896-A623-4FB4-BD52-200BF6BCE83A}">
      <formula1>"tonnes, cubic metres m3"</formula1>
    </dataValidation>
    <dataValidation type="list" allowBlank="1" showInputMessage="1" showErrorMessage="1" sqref="G10:G32" xr:uid="{DBB1BDBB-6347-40E9-A339-75FCD05DA470}">
      <formula1>"Treated on-site, Removed and treated off-site"</formula1>
    </dataValidation>
    <dataValidation type="list" allowBlank="1" showInputMessage="1" showErrorMessage="1" sqref="E10:E32" xr:uid="{5D38B8C8-8336-4894-A74E-B299C56FE634}">
      <formula1>INDIRECT(_xlfn.UNIQUE("Table_SourceData_WasteSolid_WasteTreatmentEFs[Treatment type t]"))</formula1>
    </dataValidation>
    <dataValidation type="list" allowBlank="1" showInputMessage="1" showErrorMessage="1" sqref="E35" xr:uid="{3714DECF-9D78-4CF2-82FE-5CA7ED1705F2}">
      <formula1>INDIRECT("Table_SourceData_ElectricityEFs[State, Territory or grid description]")</formula1>
    </dataValidation>
    <dataValidation type="list" allowBlank="1" showInputMessage="1" showErrorMessage="1" sqref="E89" xr:uid="{0081E8AE-27CA-45B8-90E7-8B092CF0C6E8}">
      <formula1>INDIRECT("Table_SourceData_Swine_IrrigationMethods[Irrigation method]")</formula1>
    </dataValidation>
    <dataValidation type="list" allowBlank="1" showInputMessage="1" showErrorMessage="1" sqref="E273 E278 E283 E317 E312 E307 E185 E173 E149 E161" xr:uid="{17479F26-651F-453D-ADBA-792153F189D8}">
      <formula1>"Yes, No"</formula1>
    </dataValidation>
    <dataValidation type="list" allowBlank="1" showInputMessage="1" showErrorMessage="1" sqref="E249" xr:uid="{B7E66F0F-430C-42A6-AB9B-9878355C3CD9}">
      <formula1>INDIRECT("Table_SourceData_Dairy_ProductionSystemTemplates[Area]")</formula1>
    </dataValidation>
    <dataValidation type="list" allowBlank="1" showInputMessage="1" showErrorMessage="1" sqref="D301" xr:uid="{ED03D6C7-46EE-483D-A2E0-5123A77D81F9}">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3DF-2AEA-47C4-BA8F-165D2857ADA1}">
  <sheetPr>
    <tabColor theme="5" tint="-0.249977111117893"/>
  </sheetPr>
  <dimension ref="A1:K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10" width="35" style="1" customWidth="1"/>
    <col min="11" max="11" width="5.28515625" style="1" customWidth="1"/>
    <col min="12" max="16384" width="9.140625" style="254"/>
  </cols>
  <sheetData>
    <row r="1" spans="1:11" ht="25.5" x14ac:dyDescent="0.35">
      <c r="A1" s="10" t="e" vm="1">
        <v>#VALUE!</v>
      </c>
      <c r="C1" s="10" t="s">
        <v>1204</v>
      </c>
      <c r="D1" s="10"/>
      <c r="E1" s="10"/>
      <c r="F1" s="10"/>
      <c r="G1" s="10"/>
      <c r="H1" s="10"/>
      <c r="I1" s="10"/>
      <c r="J1" s="10"/>
      <c r="K1" s="10"/>
    </row>
    <row r="2" spans="1:11" s="3" customFormat="1" x14ac:dyDescent="0.25">
      <c r="A2"/>
    </row>
    <row r="3" spans="1:11" ht="20.25" x14ac:dyDescent="0.25">
      <c r="A3" s="5" t="str">
        <f>HYPERLINK("#'Home'!A1", "Home")</f>
        <v>Home</v>
      </c>
      <c r="C3" s="28"/>
      <c r="D3" s="28"/>
      <c r="E3" s="28"/>
      <c r="F3" s="28"/>
      <c r="G3" s="28"/>
      <c r="H3" s="28"/>
      <c r="I3" s="28"/>
      <c r="J3" s="28"/>
      <c r="K3" s="28"/>
    </row>
    <row r="4" spans="1:11" x14ac:dyDescent="0.25">
      <c r="A4" s="5" t="str">
        <f>HYPERLINK("#'Results - Activity period'!A1", "Results - Activity period")</f>
        <v>Results - Activity period</v>
      </c>
    </row>
    <row r="5" spans="1:11" ht="23.25" x14ac:dyDescent="0.25">
      <c r="A5" s="5" t="str">
        <f>HYPERLINK("#'Results - Product EI'!A1", "Results - Product Emissions Intensity")</f>
        <v>Results - Product Emissions Intensity</v>
      </c>
      <c r="D5" s="2" t="s">
        <v>1205</v>
      </c>
    </row>
    <row r="6" spans="1:11" x14ac:dyDescent="0.25">
      <c r="A6" s="5" t="str">
        <f>HYPERLINK("#'Results'!A1", "Results")</f>
        <v>Results</v>
      </c>
    </row>
    <row r="7" spans="1:11" x14ac:dyDescent="0.25">
      <c r="A7"/>
      <c r="D7" s="1" t="s">
        <v>1206</v>
      </c>
    </row>
    <row r="8" spans="1:11" ht="18.75" x14ac:dyDescent="0.25">
      <c r="A8"/>
      <c r="D8" s="1" t="s">
        <v>1207</v>
      </c>
    </row>
    <row r="9" spans="1:11" x14ac:dyDescent="0.25">
      <c r="A9" s="7" t="s">
        <v>0</v>
      </c>
    </row>
    <row r="10" spans="1:11" x14ac:dyDescent="0.25">
      <c r="A10" s="5" t="str">
        <f>HYPERLINK("#'Input - Enterprise'!A1", "Enterprise")</f>
        <v>Enterprise</v>
      </c>
      <c r="D10" s="1" t="s">
        <v>1208</v>
      </c>
      <c r="F10" s="75">
        <v>1000</v>
      </c>
      <c r="G10" s="16" t="s">
        <v>1209</v>
      </c>
    </row>
    <row r="11" spans="1:11" x14ac:dyDescent="0.25">
      <c r="A11" s="5" t="str">
        <f>HYPERLINK("#'Input - Site'!A1", "Site")</f>
        <v>Site</v>
      </c>
      <c r="D11" s="1" t="s">
        <v>1210</v>
      </c>
      <c r="F11" s="75">
        <v>2000</v>
      </c>
      <c r="G11" s="16" t="s">
        <v>1209</v>
      </c>
    </row>
    <row r="12" spans="1:11" x14ac:dyDescent="0.25">
      <c r="A12" s="5" t="str">
        <f>HYPERLINK("#'Input - Dairy'!A1", "Dairy")</f>
        <v>Dairy</v>
      </c>
    </row>
    <row r="13" spans="1:11" x14ac:dyDescent="0.25">
      <c r="A13" s="5" t="str">
        <f>HYPERLINK("#'Input - Livestock sales'!A1", "Livestock sales")</f>
        <v>Livestock sales</v>
      </c>
      <c r="D13" s="1" t="s">
        <v>1211</v>
      </c>
      <c r="F13" s="13" t="s">
        <v>800</v>
      </c>
      <c r="G13" s="16" t="s">
        <v>100</v>
      </c>
    </row>
    <row r="14" spans="1:11" x14ac:dyDescent="0.25">
      <c r="A14" s="5" t="str">
        <f>HYPERLINK("#'Input - Dairy cattle purchases'!A1", "Dairy cattle purchases")</f>
        <v>Dairy cattle purchases</v>
      </c>
      <c r="D14" s="1" t="s">
        <v>1212</v>
      </c>
      <c r="F14" s="13" t="s">
        <v>341</v>
      </c>
      <c r="G14" s="16" t="s">
        <v>100</v>
      </c>
    </row>
    <row r="15" spans="1:11" x14ac:dyDescent="0.25">
      <c r="A15" s="5" t="str">
        <f>HYPERLINK("#'Input - Pasture'!A1", "Pasture")</f>
        <v>Pasture</v>
      </c>
    </row>
    <row r="16" spans="1:11"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99" t="str">
        <f>HYPERLINK("#'Input - Manure sent off-site'!A1", "Manure sent off-site")</f>
        <v>Manure sent off-site</v>
      </c>
    </row>
    <row r="26" spans="1:1" x14ac:dyDescent="0.25">
      <c r="A26" s="5" t="str">
        <f>HYPERLINK("#'Input - Data quality'!A1", "Data quality")</f>
        <v>Data quality</v>
      </c>
    </row>
    <row r="27" spans="1:1" x14ac:dyDescent="0.25">
      <c r="A27"/>
    </row>
    <row r="28" spans="1:1" x14ac:dyDescent="0.25">
      <c r="A28"/>
    </row>
    <row r="29" spans="1:1" x14ac:dyDescent="0.25">
      <c r="A29" s="6" t="s">
        <v>2</v>
      </c>
    </row>
    <row r="30" spans="1:1" x14ac:dyDescent="0.25">
      <c r="A30" s="5" t="str">
        <f>HYPERLINK("#'3.3.1.1-2 Enteric Methane'!A1", "3.3.1.1-2 Enteric methane")</f>
        <v>3.3.1.1-2 Enteric methane</v>
      </c>
    </row>
    <row r="31" spans="1:1" x14ac:dyDescent="0.25">
      <c r="A31" s="5" t="str">
        <f>HYPERLINK("#'4.3.1.1-2 Methane'!A1", "4.3.1.1-2 Manure methane")</f>
        <v>4.3.1.1-2 Manure methane</v>
      </c>
    </row>
    <row r="32" spans="1:1"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3" spans="1:1" x14ac:dyDescent="0.25">
      <c r="A53"/>
    </row>
    <row r="54" spans="1:1" x14ac:dyDescent="0.25">
      <c r="A54"/>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ECCAF70C-59F3-42A0-942C-828EC4346421}">
      <formula1>INDIRECT("Table_SourceData_Fertiliser_IrrigationMethods[Irrigation method]")</formula1>
    </dataValidation>
    <dataValidation type="list" allowBlank="1" showInputMessage="1" showErrorMessage="1" sqref="F13" xr:uid="{00C39298-D5CD-439F-A04B-DABF909E78F9}">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FD76-5AC4-43A9-B8E6-614012F0F47F}">
  <sheetPr>
    <tabColor rgb="FF008000"/>
  </sheetPr>
  <dimension ref="A1:S27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614</v>
      </c>
      <c r="K1"/>
    </row>
    <row r="2" spans="1:19" s="3" customFormat="1" ht="20.100000000000001" customHeight="1" x14ac:dyDescent="0.25">
      <c r="A2"/>
      <c r="K2"/>
    </row>
    <row r="3" spans="1:19" ht="20.100000000000001" customHeight="1" x14ac:dyDescent="0.25">
      <c r="A3" s="5" t="str">
        <f>HYPERLINK("#'Home'!A1", "Home")</f>
        <v>Home</v>
      </c>
      <c r="C3" s="22"/>
      <c r="D3" s="22" t="s">
        <v>129</v>
      </c>
      <c r="E3" s="22"/>
      <c r="F3" s="22"/>
      <c r="G3" s="22"/>
      <c r="H3" s="22"/>
      <c r="I3" s="22"/>
      <c r="J3" s="22"/>
      <c r="L3" s="22"/>
      <c r="M3" s="22" t="s">
        <v>130</v>
      </c>
      <c r="N3" s="22"/>
      <c r="O3" s="22"/>
      <c r="P3" s="22"/>
      <c r="Q3" s="22"/>
      <c r="R3" s="22"/>
      <c r="S3" s="22"/>
    </row>
    <row r="4" spans="1:19" ht="20.100000000000001" customHeight="1" x14ac:dyDescent="0.25">
      <c r="A4" s="5" t="str">
        <f>HYPERLINK("#'Results - Activity period'!A1", "Results - Activity period")</f>
        <v>Results - Activity period</v>
      </c>
    </row>
    <row r="5" spans="1:19" ht="20.100000000000001" customHeight="1" x14ac:dyDescent="0.25">
      <c r="A5" s="5" t="str">
        <f>HYPERLINK("#'Results - Product EI'!A1", "Results - Product Emissions Intensity")</f>
        <v>Results - Product Emissions Intensity</v>
      </c>
      <c r="D5" s="2" t="str" cm="1">
        <f t="array" ref="D5">EntericMethane_Dairy_Equations.VEERG_3_3_1_1__6_MetabolisabilityOfDiet_Title()</f>
        <v>Metabolisability of diet</v>
      </c>
    </row>
    <row r="6" spans="1:19" ht="20.100000000000001" customHeight="1" x14ac:dyDescent="0.25">
      <c r="A6" s="5" t="str">
        <f>HYPERLINK("#'Results'!A1", "Results")</f>
        <v>Results</v>
      </c>
      <c r="D6" s="25" t="str" cm="1">
        <f t="array" ref="D6">EntericMethane_Dairy_Equations.VEERG_3_3_1_1__6_MetabolisabilityOfDiet_Variation()</f>
        <v>VARIATION ON SOURCE: changed 0.795 to 0.00795 which is the value used in the National Inventory Report</v>
      </c>
    </row>
    <row r="7" spans="1:19" ht="20.100000000000001" customHeight="1" x14ac:dyDescent="0.25">
      <c r="D7" s="17" t="str" cm="1">
        <f t="array" ref="D7">EntericMethane_Dairy_Equations.VEERG_3_3_1_1__6_MetabolisabilityOfDiet_Source()</f>
        <v>VEERG 2026: 3.3.1.1, Equation (6)</v>
      </c>
    </row>
    <row r="8" spans="1:19" ht="20.100000000000001" customHeight="1" x14ac:dyDescent="0.25">
      <c r="D8" s="117" t="s">
        <v>343</v>
      </c>
      <c r="E8" s="117" t="str" cm="1">
        <f t="array" aca="1" ref="E8" ca="1">Common_InputFunctions.Utility_DisplayFunctionName(D24)</f>
        <v>=EntericMethane_Dairy_Equations.VEERG_3_3_1_1__6_MetabolisabilityOfDietVariation</v>
      </c>
    </row>
    <row r="9" spans="1:19" ht="20.100000000000001" customHeight="1" x14ac:dyDescent="0.25">
      <c r="A9" s="7" t="s">
        <v>0</v>
      </c>
    </row>
    <row r="10" spans="1:19" ht="20.100000000000001" customHeight="1" x14ac:dyDescent="0.25">
      <c r="A10" s="5" t="str">
        <f>HYPERLINK("#'Input - Enterprise'!A1", "Enterprise")</f>
        <v>Enterprise</v>
      </c>
    </row>
    <row r="11" spans="1:19" ht="20.100000000000001" customHeight="1" x14ac:dyDescent="0.25">
      <c r="A11" s="5" t="str">
        <f>HYPERLINK("#'Input - Site'!A1", "Site")</f>
        <v>Site</v>
      </c>
      <c r="D11" s="76" t="s">
        <v>344</v>
      </c>
      <c r="E11" s="1" t="str" cm="1">
        <f t="array" ref="E11">EntericMethane_Dairy_Equations.VEERG_3_3_1_1__6_MetabolisabilityOfDiet_Variable()</f>
        <v>qm_j</v>
      </c>
    </row>
    <row r="12" spans="1:19" ht="20.100000000000001" customHeight="1" x14ac:dyDescent="0.25">
      <c r="A12" s="5" t="str">
        <f>HYPERLINK("#'Input - Dairy'!A1", "Dairy")</f>
        <v>Dairy</v>
      </c>
      <c r="D12" s="76" t="s">
        <v>118</v>
      </c>
      <c r="E12" s="9" t="str" cm="1">
        <f t="array" ref="E12">EntericMethane_Dairy_Equations.VEERG_3_3_1_1__6_MetabolisabilityOfDiet_Unit()</f>
        <v>fraction</v>
      </c>
    </row>
    <row r="13" spans="1:19" ht="20.100000000000001" customHeight="1" x14ac:dyDescent="0.25">
      <c r="A13" s="5" t="str">
        <f>HYPERLINK("#'Input - Livestock sales'!A1", "Livestock sales")</f>
        <v>Livestock sales</v>
      </c>
    </row>
    <row r="14" spans="1:19" ht="20.100000000000001" customHeight="1" x14ac:dyDescent="0.25">
      <c r="A14" s="5" t="str">
        <f>HYPERLINK("#'Input - Dairy cattle purchases'!A1", "Dairy cattle purchases")</f>
        <v>Dairy cattle purchases</v>
      </c>
      <c r="D14" s="119" t="str" cm="1">
        <f t="array" ref="D14:E14">_xlfn.CHOOSECOLS(EntericMethane_Dairy_Equations.VEERG_3_3_1_1__6_MetabolisabilityOfDiet_Arguments(), 1,2)</f>
        <v>DMD_j</v>
      </c>
      <c r="E14" s="119" t="str">
        <v>dry matter digestibility expressed as a fraction</v>
      </c>
      <c r="F14" s="119"/>
      <c r="G14" s="119" t="str" cm="1">
        <f t="array" ref="G14:H14">_xlfn.CHOOSECOLS(EntericMethane_Dairy_Equations.VEERG_3_3_1_1__6_MetabolisabilityOfDiet_Arguments(), 3,4)</f>
        <v>fraction</v>
      </c>
      <c r="H14" s="120" t="str">
        <v>Input</v>
      </c>
      <c r="I14" s="119" t="str">
        <f>"See " &amp; D16</f>
        <v>See M1_Table_DMD_j</v>
      </c>
    </row>
    <row r="15" spans="1:19" ht="20.100000000000001" customHeight="1" x14ac:dyDescent="0.25">
      <c r="A15" s="5" t="str">
        <f>HYPERLINK("#'Input - Pasture'!A1", "Pasture")</f>
        <v>Pasture</v>
      </c>
    </row>
    <row r="16" spans="1:19" ht="20.100000000000001" customHeight="1" x14ac:dyDescent="0.25">
      <c r="A16" s="5" t="str">
        <f>HYPERLINK("#'Input - Fert Prod System'!A1", "Fert Prod System")</f>
        <v>Fert Prod System</v>
      </c>
      <c r="D16" s="121" t="s">
        <v>345</v>
      </c>
      <c r="M16" s="121" t="s">
        <v>346</v>
      </c>
    </row>
    <row r="17" spans="1:19" ht="20.100000000000001" customHeight="1" x14ac:dyDescent="0.25">
      <c r="A17" s="5" t="str">
        <f>HYPERLINK("#'Input - Fertiliser'!A1", "Fertiliser")</f>
        <v>Fertiliser</v>
      </c>
      <c r="D17" s="122" t="s">
        <v>347</v>
      </c>
      <c r="M17" s="122" t="s">
        <v>348</v>
      </c>
    </row>
    <row r="18" spans="1:19" ht="20.100000000000001" customHeight="1" x14ac:dyDescent="0.25">
      <c r="A18" s="5" t="str">
        <f>HYPERLINK("#'Input - Fuel'!A1", "Fuel")</f>
        <v>Fuel</v>
      </c>
      <c r="D18" s="81" t="s">
        <v>295</v>
      </c>
      <c r="E18" s="81" t="s">
        <v>296</v>
      </c>
      <c r="F18" s="81" t="s">
        <v>297</v>
      </c>
      <c r="G18" s="81" t="s">
        <v>298</v>
      </c>
      <c r="H18" s="81" t="s">
        <v>299</v>
      </c>
      <c r="M18" s="81" t="s">
        <v>295</v>
      </c>
      <c r="N18" s="81" t="s">
        <v>296</v>
      </c>
      <c r="O18" s="81" t="s">
        <v>297</v>
      </c>
      <c r="P18" s="81" t="s">
        <v>298</v>
      </c>
      <c r="Q18" s="81" t="s">
        <v>299</v>
      </c>
    </row>
    <row r="19" spans="1:19" ht="20.100000000000001" customHeight="1" x14ac:dyDescent="0.25">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349</v>
      </c>
      <c r="M19" s="15">
        <f>INDEX(X_Table_Dairy_Diet_Method2,2,2)</f>
        <v>0.75</v>
      </c>
      <c r="N19" s="15">
        <f>INDEX(X_Table_Dairy_Diet_Method2,2,3)</f>
        <v>0.75</v>
      </c>
      <c r="O19" s="15">
        <f>INDEX(X_Table_Dairy_Diet_Method2,2,4)</f>
        <v>0.75</v>
      </c>
      <c r="P19" s="15">
        <f>INDEX(X_Table_Dairy_Diet_Method2,2,5)</f>
        <v>0.75</v>
      </c>
      <c r="Q19" s="15">
        <f>INDEX(X_Table_Dairy_Diet_Method2,2,6)</f>
        <v>0.75</v>
      </c>
      <c r="R19" s="16" t="s">
        <v>349</v>
      </c>
    </row>
    <row r="20" spans="1:19" ht="20.100000000000001" customHeight="1" x14ac:dyDescent="0.25">
      <c r="A20" s="5" t="str">
        <f>HYPERLINK("#'Input - Common farm inputs'!A1", "Common farm inputs")</f>
        <v>Common farm inputs</v>
      </c>
    </row>
    <row r="21" spans="1:19" ht="20.100000000000001" customHeight="1" x14ac:dyDescent="0.25">
      <c r="A21" s="5" t="str">
        <f>HYPERLINK("#'Input - Crop pasture farm input'!A1", "Crop pasture farm input")</f>
        <v>Crop pasture farm input</v>
      </c>
      <c r="D21" s="121" t="s">
        <v>350</v>
      </c>
      <c r="M21" s="121" t="s">
        <v>351</v>
      </c>
    </row>
    <row r="22" spans="1:19" ht="20.100000000000001" customHeight="1" x14ac:dyDescent="0.25">
      <c r="A22" s="5" t="str">
        <f>HYPERLINK("#'Input - Livestock farm Inputs'!A1", "Livestock farm Inputs")</f>
        <v>Livestock farm Inputs</v>
      </c>
      <c r="D22" s="122" t="s">
        <v>352</v>
      </c>
      <c r="M22" s="122" t="s">
        <v>353</v>
      </c>
    </row>
    <row r="23" spans="1:19" ht="20.100000000000001" customHeight="1" x14ac:dyDescent="0.25">
      <c r="A23" s="5" t="str">
        <f>HYPERLINK("#'Input - Freight'!A1", "Freight")</f>
        <v>Freight</v>
      </c>
      <c r="D23" s="123" t="s">
        <v>295</v>
      </c>
      <c r="E23" s="123" t="s">
        <v>296</v>
      </c>
      <c r="F23" s="123" t="s">
        <v>297</v>
      </c>
      <c r="G23" s="123" t="s">
        <v>298</v>
      </c>
      <c r="H23" s="123" t="s">
        <v>299</v>
      </c>
      <c r="M23" s="123" t="s">
        <v>295</v>
      </c>
      <c r="N23" s="123" t="s">
        <v>296</v>
      </c>
      <c r="O23" s="123" t="s">
        <v>297</v>
      </c>
      <c r="P23" s="123" t="s">
        <v>298</v>
      </c>
      <c r="Q23" s="123" t="s">
        <v>299</v>
      </c>
    </row>
    <row r="24" spans="1:19" ht="20.100000000000001" customHeight="1" x14ac:dyDescent="0.25">
      <c r="A24" s="5" t="str">
        <f>HYPERLINK("#'Input - Solid waste'!A1", "Solid waste")</f>
        <v>Solid waste</v>
      </c>
      <c r="D24" s="15" cm="1">
        <f t="array" ref="D24">EntericMethane_Dairy_Equations.VEERG_3_3_1_1__6_MetabolisabilityOfDietVariation(D19)</f>
        <v>0.5948500000000001</v>
      </c>
      <c r="E24" s="15" cm="1">
        <f t="array" ref="E24">EntericMethane_Dairy_Equations.VEERG_3_3_1_1__6_MetabolisabilityOfDietVariation(E19)</f>
        <v>0.5948500000000001</v>
      </c>
      <c r="F24" s="15" cm="1">
        <f t="array" ref="F24">EntericMethane_Dairy_Equations.VEERG_3_3_1_1__6_MetabolisabilityOfDietVariation(F19)</f>
        <v>0.5948500000000001</v>
      </c>
      <c r="G24" s="15" cm="1">
        <f t="array" ref="G24">EntericMethane_Dairy_Equations.VEERG_3_3_1_1__6_MetabolisabilityOfDietVariation(G19)</f>
        <v>0.5948500000000001</v>
      </c>
      <c r="H24" s="15" cm="1">
        <f t="array" ref="H24">EntericMethane_Dairy_Equations.VEERG_3_3_1_1__6_MetabolisabilityOfDietVariation(H19)</f>
        <v>0.5948500000000001</v>
      </c>
      <c r="I24" s="16" t="str">
        <f>$E$12</f>
        <v>fraction</v>
      </c>
      <c r="M24" s="15" cm="1">
        <f t="array" ref="M24">EntericMethane_Dairy_Equations.VEERG_3_3_1_1__6_MetabolisabilityOfDietVariation(M19)</f>
        <v>0.5948500000000001</v>
      </c>
      <c r="N24" s="15" cm="1">
        <f t="array" ref="N24">EntericMethane_Dairy_Equations.VEERG_3_3_1_1__6_MetabolisabilityOfDietVariation(N19)</f>
        <v>0.5948500000000001</v>
      </c>
      <c r="O24" s="15" cm="1">
        <f t="array" ref="O24">EntericMethane_Dairy_Equations.VEERG_3_3_1_1__6_MetabolisabilityOfDietVariation(O19)</f>
        <v>0.5948500000000001</v>
      </c>
      <c r="P24" s="15" cm="1">
        <f t="array" ref="P24">EntericMethane_Dairy_Equations.VEERG_3_3_1_1__6_MetabolisabilityOfDietVariation(P19)</f>
        <v>0.5948500000000001</v>
      </c>
      <c r="Q24" s="15" cm="1">
        <f t="array" ref="Q24">EntericMethane_Dairy_Equations.VEERG_3_3_1_1__6_MetabolisabilityOfDietVariation(Q19)</f>
        <v>0.5948500000000001</v>
      </c>
      <c r="R24" s="16" t="str">
        <f>$E$12</f>
        <v>fraction</v>
      </c>
    </row>
    <row r="25" spans="1:19" ht="20.100000000000001" customHeight="1" x14ac:dyDescent="0.25">
      <c r="A25" s="5" t="str">
        <f>HYPERLINK("#'Input - Manure sent off-site'!A1", "Manure sent off-site")</f>
        <v>Manure sent off-site</v>
      </c>
    </row>
    <row r="26" spans="1:19" ht="20.100000000000001" customHeight="1" x14ac:dyDescent="0.25">
      <c r="A26" s="5" t="str">
        <f>HYPERLINK("#'Input - Data quality'!A1", "Data quality")</f>
        <v>Data quality</v>
      </c>
    </row>
    <row r="27" spans="1:19" ht="20.100000000000001" customHeight="1" x14ac:dyDescent="0.25">
      <c r="C27" s="89"/>
      <c r="D27" s="89"/>
      <c r="E27" s="89"/>
      <c r="F27" s="89"/>
      <c r="G27" s="89"/>
      <c r="H27" s="89"/>
      <c r="I27" s="89"/>
      <c r="J27" s="89"/>
      <c r="L27" s="89"/>
      <c r="M27" s="89"/>
      <c r="N27" s="89"/>
      <c r="O27" s="89"/>
      <c r="P27" s="89"/>
      <c r="Q27" s="89"/>
      <c r="R27" s="89"/>
      <c r="S27" s="89"/>
    </row>
    <row r="28" spans="1:19" ht="20.100000000000001" customHeight="1" x14ac:dyDescent="0.25">
      <c r="D28" s="2" t="str" cm="1">
        <f t="array" ref="D28">EntericMethane_Dairy_Equations.VEERG_3_3_1_1__5_MilkProductionFromMilkSolids_Title()</f>
        <v>Milk production converted from milk solids</v>
      </c>
    </row>
    <row r="29" spans="1:19" ht="20.100000000000001" customHeight="1" x14ac:dyDescent="0.25">
      <c r="A29" s="6" t="s">
        <v>2</v>
      </c>
      <c r="D29" s="17" t="str" cm="1">
        <f t="array" ref="D29">EntericMethane_Dairy_Equations.VEERG_3_3_1_1__5_MilkProductionFromMilkSolids_Source()</f>
        <v>VEERG 2026: 3.3.1.1, Equation (5)</v>
      </c>
    </row>
    <row r="30" spans="1:19" ht="20.100000000000001" customHeight="1" x14ac:dyDescent="0.25">
      <c r="A30" s="118" t="str">
        <f>HYPERLINK("#'3.3.1.1-2 Enteric Methane'!A1", "3.3.1.1-2 Enteric methane")</f>
        <v>3.3.1.1-2 Enteric methane</v>
      </c>
      <c r="D30" s="2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19" ht="20.100000000000001" customHeight="1" x14ac:dyDescent="0.25">
      <c r="A31" s="5" t="str">
        <f>HYPERLINK("#'4.3.1.1-2 Methane'!A1", "4.3.1.1-2 Manure methane")</f>
        <v>4.3.1.1-2 Manure methane</v>
      </c>
      <c r="D31" s="117" t="s">
        <v>343</v>
      </c>
      <c r="E31" s="117" t="str" cm="1">
        <f t="array" aca="1" ref="E31" ca="1">Common_InputFunctions.Utility_DisplayFunctionName(D50)</f>
        <v>=EntericMethane_Dairy_Equations.VEERG_3_3_1_1__5_MilkProductionFromMilkSolids</v>
      </c>
    </row>
    <row r="32" spans="1:19" ht="20.100000000000001" customHeight="1" x14ac:dyDescent="0.25">
      <c r="A32" s="5" t="str">
        <f>HYPERLINK("#'4.3.1.3-4 Direct N20'!A1", "4.3.1.3-4 Direct N20")</f>
        <v>4.3.1.3-4 Direct N20</v>
      </c>
    </row>
    <row r="33" spans="1:18" ht="20.100000000000001" customHeight="1" x14ac:dyDescent="0.25">
      <c r="A33" s="5" t="str">
        <f>HYPERLINK("#'4.3.1.5 Atmos deposition'!A1", "4.3.1.5 Atmos deposition")</f>
        <v>4.3.1.5 Atmos deposition</v>
      </c>
    </row>
    <row r="34" spans="1:18" ht="20.100000000000001" customHeight="1" x14ac:dyDescent="0.25">
      <c r="A34" s="5" t="str">
        <f>HYPERLINK("#'4.3.1.6-7 Leaching and runoff'!A1", "4.3.1.6-7 Leaching &amp; runoff")</f>
        <v>4.3.1.6-7 Leaching &amp; runoff</v>
      </c>
      <c r="D34" s="76" t="s">
        <v>344</v>
      </c>
      <c r="E34" s="1" t="str" cm="1">
        <f t="array" ref="E34">EntericMethane_Dairy_Equations.VEERG_3_3_1_1__5_MilkProductionFromMilkSolids_Variable()</f>
        <v>MP_j</v>
      </c>
    </row>
    <row r="35" spans="1:18" ht="20.100000000000001" customHeight="1" x14ac:dyDescent="0.25">
      <c r="A35" s="5" t="str">
        <f>HYPERLINK("#'4.3.1.8 Manure applied to soils'!A1", "4.3.1.8 Manure applied to soils")</f>
        <v>4.3.1.8 Manure applied to soils</v>
      </c>
      <c r="D35" s="76" t="s">
        <v>118</v>
      </c>
      <c r="E35" s="9" t="str" cm="1">
        <f t="array" ref="E35">EntericMethane_Dairy_Equations.VEERG_3_3_1_1__5_MilkProductionFromMilkSolids_Unit()</f>
        <v>L/head/day</v>
      </c>
    </row>
    <row r="36" spans="1:18" ht="20.100000000000001" customHeight="1" x14ac:dyDescent="0.25">
      <c r="A36" s="5" t="str">
        <f>HYPERLINK("#'4.3.1.9 Soil direct N2O'!A1", "4.3.1.9 Soil direct N2O")</f>
        <v>4.3.1.9 Soil direct N2O</v>
      </c>
    </row>
    <row r="37" spans="1:18" ht="20.100000000000001" customHeight="1" x14ac:dyDescent="0.25">
      <c r="A37" s="5" t="str">
        <f>HYPERLINK("#'4.3.1.10-11 Soil Atmos Dep'!A1", "4.3.1.10-11 Soil Atmos Deposition")</f>
        <v>4.3.1.10-11 Soil Atmos Deposition</v>
      </c>
      <c r="D37" s="119" t="str" cm="1">
        <f t="array" ref="D37:E40">_xlfn.CHOOSECOLS(EntericMethane_Dairy_Equations.VEERG_3_3_1_1__5_MilkProductionFromMilkSolids_Arguments(),1,2)</f>
        <v>MPU</v>
      </c>
      <c r="E37" s="124" t="str">
        <v>input milk production unit</v>
      </c>
      <c r="F37" s="125"/>
      <c r="G37" s="119" t="str" cm="1">
        <f t="array" ref="G37:H40">_xlfn.CHOOSECOLS(EntericMethane_Dairy_Equations.VEERG_3_3_1_1__5_MilkProductionFromMilkSolids_Arguments(),3,4)</f>
        <v/>
      </c>
      <c r="H37" s="120" t="str">
        <v>Input</v>
      </c>
      <c r="I37" s="119" t="str">
        <f>X_Cell_Dairy_MilkProductionUnit</f>
        <v>Litres of milk</v>
      </c>
      <c r="M37" s="119" t="str" cm="1">
        <f t="array" ref="M37:N40">_xlfn.CHOOSECOLS(EntericMethane_Dairy_Equations.VEERG_3_3_1_1__5_MilkProductionFromMilkSolids_Arguments_Method2(),1,2)</f>
        <v>MPU</v>
      </c>
      <c r="N37" s="124" t="str">
        <v>milk production unit</v>
      </c>
      <c r="O37" s="125"/>
      <c r="P37" s="119" t="str" cm="1">
        <f t="array" ref="P37:Q40">_xlfn.CHOOSECOLS(EntericMethane_Dairy_Equations.VEERG_3_3_1_1__5_MilkProductionFromMilkSolids_Arguments_Method2(),3,4)</f>
        <v/>
      </c>
      <c r="Q37" s="120" t="str">
        <v>Input</v>
      </c>
      <c r="R37" s="119"/>
    </row>
    <row r="38" spans="1:18" ht="20.100000000000001" customHeight="1" x14ac:dyDescent="0.25">
      <c r="A38" s="5" t="str">
        <f>HYPERLINK("#'4.3.1.12-13 Soil leach runoff'!A1", "4.3.1.12-13 Soil leach &amp; runoff")</f>
        <v>4.3.1.12-13 Soil leach &amp; runoff</v>
      </c>
      <c r="D38" s="119" t="str">
        <v>MS_j</v>
      </c>
      <c r="E38" s="124" t="str">
        <v>daily production of milk solids</v>
      </c>
      <c r="F38" s="125"/>
      <c r="G38" s="119" t="str">
        <v>kg MS/head/day</v>
      </c>
      <c r="H38" s="120" t="str">
        <v>Input</v>
      </c>
      <c r="I38" s="126" t="str" cm="1">
        <f t="array" aca="1" ref="I38" ca="1">HYPERLINK(Common_InputFunctions.Utility_SourceHyperlink($D$42),$D$42)</f>
        <v>M1_Table_MS_j</v>
      </c>
      <c r="M38" s="119" t="str">
        <v>MS_j</v>
      </c>
      <c r="N38" s="124" t="str">
        <v>daily production of milk solids</v>
      </c>
      <c r="O38" s="125"/>
      <c r="P38" s="119" t="str">
        <v>kg MS/head/day</v>
      </c>
      <c r="Q38" s="120" t="str">
        <v>Input</v>
      </c>
      <c r="R38" s="126"/>
    </row>
    <row r="39" spans="1:18" ht="20.100000000000001" customHeight="1" x14ac:dyDescent="0.25">
      <c r="A39" s="5" t="str">
        <f>HYPERLINK("#'5.1.1.1-2 Inorganic fert N2O'!A1", "5.1.1.1-2 Inorganic fert N2O")</f>
        <v>5.1.1.1-2 Inorganic fert N2O</v>
      </c>
      <c r="D39" s="119" t="str">
        <v>FC_j</v>
      </c>
      <c r="E39" s="124" t="str">
        <v>fat content in fat and protein corrected milk</v>
      </c>
      <c r="F39" s="125"/>
      <c r="G39" s="119" t="str">
        <v>per cent</v>
      </c>
      <c r="H39" s="120" t="str">
        <v>Input</v>
      </c>
      <c r="I39" s="119">
        <f>INDEX(X_Table_Dairy_MilkSolidAttributes,2,2)*100</f>
        <v>4</v>
      </c>
      <c r="M39" s="119" t="str">
        <v>FC_j</v>
      </c>
      <c r="N39" s="124" t="str">
        <v>fat content in fat and protein corrected milk</v>
      </c>
      <c r="O39" s="125"/>
      <c r="P39" s="119" t="str">
        <v>per cent</v>
      </c>
      <c r="Q39" s="120" t="str">
        <v>Input</v>
      </c>
      <c r="R39" s="119">
        <f>INDEX(X_Table_Dairy_MilkSolidAttributes,2,3)*100</f>
        <v>4</v>
      </c>
    </row>
    <row r="40" spans="1:18" ht="20.100000000000001" customHeight="1" x14ac:dyDescent="0.25">
      <c r="A40" s="5" t="str">
        <f>HYPERLINK("#'5.1.1.3-4 Inorganic fert CO2'!A1", "5.1.1.3-4 Inorganic fert CO2")</f>
        <v>5.1.1.3-4 Inorganic fert CO2</v>
      </c>
      <c r="D40" s="119" t="str">
        <v>PC_j</v>
      </c>
      <c r="E40" s="119" t="str">
        <v>protein content in fat and protein corrected milk</v>
      </c>
      <c r="F40" s="119"/>
      <c r="G40" s="119" t="str">
        <v>per cent</v>
      </c>
      <c r="H40" s="120" t="str">
        <v>Input</v>
      </c>
      <c r="I40" s="119">
        <f>INDEX(X_Table_Dairy_MilkSolidAttributes,3,2)*100</f>
        <v>3.3000000000000003</v>
      </c>
      <c r="M40" s="119" t="str">
        <v>PC_j</v>
      </c>
      <c r="N40" s="119" t="str">
        <v>protein content in fat and protein corrected milk</v>
      </c>
      <c r="O40" s="119"/>
      <c r="P40" s="119" t="str">
        <v>per cent</v>
      </c>
      <c r="Q40" s="120" t="str">
        <v>Input</v>
      </c>
      <c r="R40" s="119">
        <f>INDEX(X_Table_Dairy_MilkSolidAttributes,3,3)*100</f>
        <v>3.3000000000000003</v>
      </c>
    </row>
    <row r="41" spans="1:18" ht="20.100000000000001" customHeight="1" x14ac:dyDescent="0.25">
      <c r="A41" s="5" t="str">
        <f>HYPERLINK("#'5.2.1.1-2 Organic Fert N2O'!A1", "5.2.1.1-2 Organic fert N2O")</f>
        <v>5.2.1.1-2 Organic fert N2O</v>
      </c>
    </row>
    <row r="42" spans="1:18" ht="20.100000000000001" customHeight="1" x14ac:dyDescent="0.25">
      <c r="A42" s="5" t="str">
        <f>HYPERLINK("#'5.3.1.1-2 Lime CO2'!A1", "5.3.1.1-2 Lime CO2")</f>
        <v>5.3.1.1-2 Lime CO2</v>
      </c>
      <c r="D42" s="121" t="s">
        <v>354</v>
      </c>
    </row>
    <row r="43" spans="1:18" ht="20.100000000000001" customHeight="1" x14ac:dyDescent="0.25">
      <c r="A43" s="5" t="str">
        <f>HYPERLINK("#'5.4.1.1-4 Atmos deposition'!A1", "5.4.1.1-4 Atmos. deposition")</f>
        <v>5.4.1.1-4 Atmos. deposition</v>
      </c>
      <c r="D43" s="122" t="s">
        <v>355</v>
      </c>
    </row>
    <row r="44" spans="1:18" ht="20.100000000000001" customHeight="1" x14ac:dyDescent="0.25">
      <c r="A44" s="5" t="str">
        <f>HYPERLINK("#'5.5.1.1-2 Leaching and runoff'!A1", "5.5.1.1-2 Leaching &amp; runoff")</f>
        <v>5.5.1.1-2 Leaching &amp; runoff</v>
      </c>
      <c r="D44" s="81" t="s">
        <v>295</v>
      </c>
      <c r="E44" s="81" t="s">
        <v>296</v>
      </c>
      <c r="F44" s="81" t="s">
        <v>297</v>
      </c>
      <c r="G44" s="81" t="s">
        <v>298</v>
      </c>
      <c r="H44" s="81" t="s">
        <v>299</v>
      </c>
    </row>
    <row r="45" spans="1:18" ht="20.100000000000001" customHeight="1" x14ac:dyDescent="0.25">
      <c r="A45" s="5" t="str">
        <f>HYPERLINK("#'6.2.1.1-2 Pasture residue N2O'!A1", "6.2.1.1-2 Pasture residue N2O")</f>
        <v>6.2.1.1-2 Pasture residue N2O</v>
      </c>
      <c r="D45" s="15">
        <f>IF($I$37="Milk solids", X_Cell_Dairy_MilkProductionAmount, 0)</f>
        <v>0</v>
      </c>
      <c r="E45" s="15">
        <v>0</v>
      </c>
      <c r="F45" s="15">
        <v>0</v>
      </c>
      <c r="G45" s="15">
        <v>0</v>
      </c>
      <c r="H45" s="15">
        <v>0</v>
      </c>
      <c r="I45" s="16" t="s">
        <v>360</v>
      </c>
    </row>
    <row r="46" spans="1:18" ht="20.100000000000001" customHeight="1" x14ac:dyDescent="0.25">
      <c r="A46" s="5" t="str">
        <f>HYPERLINK("#'6.3.1.1-2 Leach runoff pasture'!A1", "6.3.1.1-2 Leach &amp; runoff (pasture)")</f>
        <v>6.3.1.1-2 Leach &amp; runoff (pasture)</v>
      </c>
    </row>
    <row r="47" spans="1:18" ht="20.100000000000001" customHeight="1" x14ac:dyDescent="0.25">
      <c r="A47" s="5" t="str">
        <f>HYPERLINK("#'8.1.1.1-2 Transport fuel'!A1", "8.1.1.1-2 Transport fuel")</f>
        <v>8.1.1.1-2 Transport fuel</v>
      </c>
      <c r="D47" s="121" t="s">
        <v>356</v>
      </c>
      <c r="M47" s="121" t="s">
        <v>357</v>
      </c>
    </row>
    <row r="48" spans="1:18" ht="20.100000000000001" customHeight="1" x14ac:dyDescent="0.25">
      <c r="A48" s="5" t="str">
        <f>HYPERLINK("#'8.2.1.1-2 Stationary fuel'!A1", "8.2.1.1-2 Stationary fuel")</f>
        <v>8.2.1.1-2 Stationary fuel</v>
      </c>
      <c r="D48" s="122" t="s">
        <v>358</v>
      </c>
      <c r="M48" s="122" t="s">
        <v>359</v>
      </c>
    </row>
    <row r="49" spans="1:19" ht="20.100000000000001" customHeight="1" x14ac:dyDescent="0.25">
      <c r="A49" s="5" t="str">
        <f>HYPERLINK("#'10.1.1-2 Solid waste treatment'!A1", "10.1.1.1-2 Solid waste")</f>
        <v>10.1.1.1-2 Solid waste</v>
      </c>
      <c r="D49" s="123" t="s">
        <v>295</v>
      </c>
      <c r="E49" s="123" t="s">
        <v>296</v>
      </c>
      <c r="F49" s="123" t="s">
        <v>297</v>
      </c>
      <c r="G49" s="123" t="s">
        <v>298</v>
      </c>
      <c r="H49" s="123" t="s">
        <v>299</v>
      </c>
      <c r="M49" s="123" t="s">
        <v>295</v>
      </c>
      <c r="N49" s="123" t="s">
        <v>296</v>
      </c>
      <c r="O49" s="123" t="s">
        <v>297</v>
      </c>
      <c r="P49" s="123" t="s">
        <v>298</v>
      </c>
      <c r="Q49" s="123" t="s">
        <v>299</v>
      </c>
    </row>
    <row r="50" spans="1:19" ht="20.100000000000001" customHeight="1" x14ac:dyDescent="0.25">
      <c r="A50" s="5" t="str">
        <f>HYPERLINK("#'14.1.1-2 Purchased electricity'!A1", "14.1.1-2 Purchased electricity")</f>
        <v>14.1.1-2 Purchased electricity</v>
      </c>
      <c r="D50" s="15" cm="1">
        <f t="array" ref="D50">EntericMethane_Dairy_Equations.VEERG_3_3_1_1__5_MilkProductionFromMilkSolids(D45,I39,I40)</f>
        <v>0</v>
      </c>
      <c r="E50" s="15">
        <v>0</v>
      </c>
      <c r="F50" s="15">
        <v>0</v>
      </c>
      <c r="G50" s="15">
        <v>0</v>
      </c>
      <c r="H50" s="15">
        <v>0</v>
      </c>
      <c r="I50" s="16" t="s">
        <v>360</v>
      </c>
      <c r="M50" s="15" cm="1">
        <f t="array" ref="M50">EntericMethane_Dairy_Equations.VEERG_3_3_1_1__5_MilkProductionFromMilkSolids(D45,R39,R40)</f>
        <v>0</v>
      </c>
      <c r="N50" s="15">
        <v>0</v>
      </c>
      <c r="O50" s="15">
        <v>0</v>
      </c>
      <c r="P50" s="15">
        <v>0</v>
      </c>
      <c r="Q50" s="15">
        <v>0</v>
      </c>
      <c r="R50" s="16" t="s">
        <v>360</v>
      </c>
    </row>
    <row r="51" spans="1:19" ht="20.100000000000001" customHeight="1" x14ac:dyDescent="0.25">
      <c r="A51" s="5" t="str">
        <f>HYPERLINK("#'15 Scope 3'!A1", "15 Scope 3")</f>
        <v>15 Scope 3</v>
      </c>
    </row>
    <row r="52" spans="1:19" ht="20.100000000000001" customHeight="1" x14ac:dyDescent="0.25">
      <c r="A52" s="5" t="str">
        <f>HYPERLINK("#'Calcs - Manure sent off-site'!A1", "Calcs - Manure sent off-site")</f>
        <v>Calcs - Manure sent off-site</v>
      </c>
    </row>
    <row r="53" spans="1:19" ht="20.100000000000001" customHeight="1" x14ac:dyDescent="0.25">
      <c r="C53" s="89"/>
      <c r="D53" s="89"/>
      <c r="E53" s="89"/>
      <c r="F53" s="89"/>
      <c r="G53" s="89"/>
      <c r="H53" s="89"/>
      <c r="I53" s="89"/>
      <c r="J53" s="89"/>
      <c r="L53" s="89"/>
      <c r="M53" s="89"/>
      <c r="N53" s="89"/>
      <c r="O53" s="89"/>
      <c r="P53" s="89"/>
      <c r="Q53" s="89"/>
      <c r="R53" s="89"/>
      <c r="S53" s="89"/>
    </row>
    <row r="54" spans="1:19" ht="20.100000000000001" customHeight="1" x14ac:dyDescent="0.25">
      <c r="D54" s="2" t="str" cm="1">
        <f t="array" ref="D54">EntericMethane_Dairy_Equations.VEERG_3_3_1_1__4_AdditionalIntakeForMilkProduction_Title()</f>
        <v>Additional intake required for milk production</v>
      </c>
    </row>
    <row r="55" spans="1:19" ht="20.100000000000001" customHeight="1" x14ac:dyDescent="0.25">
      <c r="A55" s="83" t="s">
        <v>1</v>
      </c>
      <c r="D55" s="17" t="str" cm="1">
        <f t="array" ref="D55">EntericMethane_Dairy_Equations.VEERG_3_3_1_1__4_AdditionalIntakeForMilkProduction_Source()</f>
        <v>VEERG 2026: 3.3.1.1, Equation (4)</v>
      </c>
    </row>
    <row r="56" spans="1:19" ht="20.100000000000001" customHeight="1" x14ac:dyDescent="0.25">
      <c r="A56" s="5" t="str">
        <f>HYPERLINK("#'Constants - Dairy'!A1", "Constants - Dairy")</f>
        <v>Constants - Dairy</v>
      </c>
      <c r="D56" s="25" t="str" cm="1">
        <f t="array" ref="D56">EntericMethane_Dairy_Equations.VEERG_3_3_1_1__4_AdditionalIntakeForMilkProduction_Variation()</f>
        <v>VARATION ON SOURCE: Added milk production unit variable to allow for use of either milk solids or litres of milk.</v>
      </c>
    </row>
    <row r="57" spans="1:19" ht="20.100000000000001" customHeight="1" x14ac:dyDescent="0.25">
      <c r="A57" s="5" t="str">
        <f>HYPERLINK("#'Constants - Ag Residue'!A1", "Constants - Ag residue")</f>
        <v>Constants - Ag residue</v>
      </c>
      <c r="D57" s="117" t="s">
        <v>343</v>
      </c>
      <c r="E57" s="117" t="str" cm="1">
        <f t="array" aca="1" ref="E57" ca="1">Common_InputFunctions.Utility_DisplayFunctionName(D80)</f>
        <v>=EntericMethane_Dairy_Equations.VEERG_3_3_1_1__4_AdditionalIntakeForMilkProduction</v>
      </c>
    </row>
    <row r="58" spans="1:19" ht="20.100000000000001" customHeight="1" x14ac:dyDescent="0.25">
      <c r="A58" s="5" t="str">
        <f>HYPERLINK("#'Constants - Common Livestock'!A1", "Constants - Common Livestock")</f>
        <v>Constants - Common Livestock</v>
      </c>
      <c r="D58" s="2"/>
    </row>
    <row r="59" spans="1:19" ht="20.100000000000001" customHeight="1" x14ac:dyDescent="0.25">
      <c r="A59" s="5" t="str">
        <f>HYPERLINK("#'Constants - Electricity'!A1", "Constants - Electricity")</f>
        <v>Constants - Electricity</v>
      </c>
    </row>
    <row r="60" spans="1:19" ht="20.100000000000001" customHeight="1" x14ac:dyDescent="0.25">
      <c r="A60" s="5" t="str">
        <f>HYPERLINK("#'Constants - Fertiliser'!A1", "Constants - Fertiliser")</f>
        <v>Constants - Fertiliser</v>
      </c>
    </row>
    <row r="61" spans="1:19" ht="20.100000000000001" customHeight="1" x14ac:dyDescent="0.25">
      <c r="A61" s="5" t="str">
        <f>HYPERLINK("#'Constants - Fuel'!A1", "Constants - Fuel")</f>
        <v>Constants - Fuel</v>
      </c>
      <c r="D61" s="76" t="s">
        <v>344</v>
      </c>
      <c r="E61" s="1" t="str" cm="1">
        <f t="array" ref="E61">EntericMethane_Dairy_Equations.VEERG_3_3_1_1__4_AdditionalIntakeForMilkProduction_Variable()</f>
        <v>MI_j</v>
      </c>
    </row>
    <row r="62" spans="1:19" ht="20.100000000000001" customHeight="1" x14ac:dyDescent="0.25">
      <c r="A62" s="5" t="str">
        <f>HYPERLINK("#'Constants - Scope 3'!A1", "Constants - Scope 3")</f>
        <v>Constants - Scope 3</v>
      </c>
      <c r="D62" s="76" t="s">
        <v>118</v>
      </c>
      <c r="E62" s="9" t="str" cm="1">
        <f t="array" ref="E62">EntericMethane_Dairy_Equations.VEERG_3_3_1_1__4_AdditionalIntakeForMilkProduction_Unit()</f>
        <v>kg DM/head/day</v>
      </c>
    </row>
    <row r="63" spans="1:19" ht="20.100000000000001" customHeight="1" x14ac:dyDescent="0.25">
      <c r="A63" s="5" t="str">
        <f>HYPERLINK("#'Constants - Common'!A1", "Constants - Common")</f>
        <v>Constants - Common</v>
      </c>
    </row>
    <row r="64" spans="1:19" ht="20.100000000000001" customHeight="1" x14ac:dyDescent="0.25">
      <c r="A64" s="5" t="str">
        <f>HYPERLINK("#'Constants - Solid Waste'!A1", "Constants - Solid Waste")</f>
        <v>Constants - Solid Waste</v>
      </c>
      <c r="D64" s="119" t="str" cm="1">
        <f t="array" ref="D64:E70">_xlfn.CHOOSECOLS(EntericMethane_Dairy_Equations.VEERG_3_3_1_1__4_AdditionalIntakeForMilkProduction_Arguments(), 1,2)</f>
        <v>MPU</v>
      </c>
      <c r="E64" s="124" t="str">
        <v>input milk production unit</v>
      </c>
      <c r="F64" s="125"/>
      <c r="G64" s="119" t="str" cm="1">
        <f t="array" ref="G64:H70">_xlfn.CHOOSECOLS(EntericMethane_Dairy_Equations.VEERG_3_3_1_1__4_AdditionalIntakeForMilkProduction_Arguments(), 3,4)</f>
        <v/>
      </c>
      <c r="H64" s="120" t="str">
        <v>Input</v>
      </c>
      <c r="I64" s="119" t="str">
        <f>X_Cell_Dairy_MilkProductionUnit</f>
        <v>Litres of milk</v>
      </c>
    </row>
    <row r="65" spans="1:18" ht="20.100000000000001" customHeight="1" x14ac:dyDescent="0.25">
      <c r="A65" s="5" t="str">
        <f>HYPERLINK("#'Acknowledgements'!A1", "Acknowledgements")</f>
        <v>Acknowledgements</v>
      </c>
      <c r="D65" s="119" t="str">
        <v>MP_j</v>
      </c>
      <c r="E65" s="124" t="str">
        <v>milk production (if input as litres of milk)</v>
      </c>
      <c r="F65" s="125"/>
      <c r="G65" s="119" t="str">
        <v>L/head/day</v>
      </c>
      <c r="H65" s="120" t="str">
        <v>Input</v>
      </c>
      <c r="I65" s="126" t="str" cm="1">
        <f t="array" aca="1" ref="I65" ca="1">HYPERLINK(Common_InputFunctions.Utility_SourceHyperlink($D$72), $D$72)</f>
        <v>Table_MP_j</v>
      </c>
    </row>
    <row r="66" spans="1:18" ht="20.100000000000001" customHeight="1" x14ac:dyDescent="0.25">
      <c r="D66" s="119" t="str">
        <v>MP_j</v>
      </c>
      <c r="E66" s="124" t="str">
        <v>milk production (if input as milk solids)</v>
      </c>
      <c r="F66" s="125"/>
      <c r="G66" s="119" t="str">
        <v>L/head/day</v>
      </c>
      <c r="H66" s="127" t="str">
        <v>Calculated from 3.3.1.1 (5)</v>
      </c>
      <c r="I66" s="126" t="str" cm="1">
        <f t="array" aca="1" ref="I66" ca="1">HYPERLINK(Common_InputFunctions.Utility_SourceHyperlink($D$47),$D$47)</f>
        <v>M1_Table_MP_j_from_solids</v>
      </c>
    </row>
    <row r="67" spans="1:18" ht="20.100000000000001" customHeight="1" x14ac:dyDescent="0.25">
      <c r="D67" s="119" t="str">
        <v>NE</v>
      </c>
      <c r="E67" s="124" t="str">
        <v>net energy</v>
      </c>
      <c r="F67" s="125"/>
      <c r="G67" s="119" t="str">
        <v>MJ net energy/kg milk</v>
      </c>
      <c r="H67" s="127" t="str">
        <v>Constant</v>
      </c>
      <c r="I67" s="119">
        <f>SourceData_Dairy_NetEnergy_Data</f>
        <v>3.0539999999999998</v>
      </c>
    </row>
    <row r="68" spans="1:18" ht="20.100000000000001" customHeight="1" x14ac:dyDescent="0.25">
      <c r="D68" s="119" t="str">
        <v>GEC</v>
      </c>
      <c r="E68" s="124" t="str">
        <v>gross energy content</v>
      </c>
      <c r="F68" s="125"/>
      <c r="G68" s="119" t="str">
        <v>MJ/kgDM</v>
      </c>
      <c r="H68" s="127" t="str">
        <v>Constant</v>
      </c>
      <c r="I68" s="119">
        <f>SourceData_Dairy_GrossEnergyContent_Data</f>
        <v>18.399999999999999</v>
      </c>
    </row>
    <row r="69" spans="1:18" ht="20.100000000000001" customHeight="1" x14ac:dyDescent="0.25">
      <c r="D69" s="119" t="str">
        <v>k</v>
      </c>
      <c r="E69" s="124" t="str">
        <v>efficiency of metabolizable energy use for milk production</v>
      </c>
      <c r="F69" s="125"/>
      <c r="G69" s="119" t="str">
        <v>fraction</v>
      </c>
      <c r="H69" s="127" t="str">
        <v>Constant</v>
      </c>
      <c r="I69" s="119">
        <f>SourceData_Dairy_EfficiencyOfUseOfMetabolizableEnergy_Data</f>
        <v>0.6</v>
      </c>
    </row>
    <row r="70" spans="1:18" ht="20.100000000000001" customHeight="1" x14ac:dyDescent="0.25">
      <c r="D70" s="119" t="str">
        <v>qm_j</v>
      </c>
      <c r="E70" s="124" t="str">
        <v>metabolisability of the diet</v>
      </c>
      <c r="F70" s="125"/>
      <c r="G70" s="119" t="str">
        <v>fraction</v>
      </c>
      <c r="H70" s="127" t="str">
        <v>Calculated from 3.3.1.1 (6)</v>
      </c>
      <c r="I70" s="126" t="str" cm="1">
        <f t="array" aca="1" ref="I70" ca="1">HYPERLINK(Common_InputFunctions.Utility_SourceHyperlink($D$21), $D$21)</f>
        <v>M1_Table_qm_j</v>
      </c>
    </row>
    <row r="71" spans="1:18" ht="20.100000000000001" customHeight="1" x14ac:dyDescent="0.25"/>
    <row r="72" spans="1:18" ht="20.100000000000001" customHeight="1" x14ac:dyDescent="0.25">
      <c r="D72" s="121" t="s">
        <v>361</v>
      </c>
    </row>
    <row r="73" spans="1:18" ht="20.100000000000001" customHeight="1" x14ac:dyDescent="0.25">
      <c r="D73" s="122" t="s">
        <v>313</v>
      </c>
    </row>
    <row r="74" spans="1:18" ht="20.100000000000001" customHeight="1" x14ac:dyDescent="0.25">
      <c r="D74" s="81" t="s">
        <v>295</v>
      </c>
      <c r="E74" s="81" t="s">
        <v>296</v>
      </c>
      <c r="F74" s="81" t="s">
        <v>297</v>
      </c>
      <c r="G74" s="81" t="s">
        <v>298</v>
      </c>
      <c r="H74" s="81" t="s">
        <v>299</v>
      </c>
    </row>
    <row r="75" spans="1:18" ht="20.100000000000001" customHeight="1" x14ac:dyDescent="0.25">
      <c r="D75" s="15">
        <f>IF(I64="Milk solids", 0, X_Cell_Dairy_MilkProductionAmount)</f>
        <v>20</v>
      </c>
      <c r="E75" s="15">
        <v>0</v>
      </c>
      <c r="F75" s="15">
        <v>0</v>
      </c>
      <c r="G75" s="15">
        <v>0</v>
      </c>
      <c r="H75" s="15">
        <v>0</v>
      </c>
      <c r="I75" s="16" t="s">
        <v>360</v>
      </c>
    </row>
    <row r="76" spans="1:18" ht="20.100000000000001" customHeight="1" x14ac:dyDescent="0.25"/>
    <row r="77" spans="1:18" ht="20.100000000000001" customHeight="1" x14ac:dyDescent="0.25">
      <c r="D77" s="121" t="s">
        <v>362</v>
      </c>
      <c r="M77" s="121" t="s">
        <v>363</v>
      </c>
    </row>
    <row r="78" spans="1:18" ht="20.100000000000001" customHeight="1" x14ac:dyDescent="0.25">
      <c r="D78" s="122" t="s">
        <v>364</v>
      </c>
      <c r="M78" s="122" t="s">
        <v>365</v>
      </c>
    </row>
    <row r="79" spans="1:18" ht="20.100000000000001" customHeight="1" x14ac:dyDescent="0.25">
      <c r="D79" s="123" t="s">
        <v>295</v>
      </c>
      <c r="E79" s="123" t="s">
        <v>296</v>
      </c>
      <c r="F79" s="123" t="s">
        <v>297</v>
      </c>
      <c r="G79" s="123" t="s">
        <v>298</v>
      </c>
      <c r="H79" s="123" t="s">
        <v>299</v>
      </c>
      <c r="M79" s="123" t="s">
        <v>295</v>
      </c>
      <c r="N79" s="123" t="s">
        <v>296</v>
      </c>
      <c r="O79" s="123" t="s">
        <v>297</v>
      </c>
      <c r="P79" s="123" t="s">
        <v>298</v>
      </c>
      <c r="Q79" s="123" t="s">
        <v>299</v>
      </c>
    </row>
    <row r="80" spans="1:18" ht="20.100000000000001" customHeight="1" x14ac:dyDescent="0.25">
      <c r="D80" s="15" cm="1">
        <f t="array" ref="D80">EntericMethane_Dairy_Equations.VEERG_3_3_1_1__4_AdditionalIntakeForMilkProduction(IF(I64="Milk solids", D50, D75),$I$67,$I$68,$I$69,D24)</f>
        <v>9.5798721636071917</v>
      </c>
      <c r="E80" s="15" cm="1">
        <f t="array" ref="E80">EntericMethane_Dairy_Equations.VEERG_3_3_1_1__4_AdditionalIntakeForMilkProduction(E75, $I$67,$I$68,$I$69,E24)</f>
        <v>0</v>
      </c>
      <c r="F80" s="15" cm="1">
        <f t="array" ref="F80">EntericMethane_Dairy_Equations.VEERG_3_3_1_1__4_AdditionalIntakeForMilkProduction(F75, $I$67,$I$68,$I$69,F24)</f>
        <v>0</v>
      </c>
      <c r="G80" s="15" cm="1">
        <f t="array" ref="G80">EntericMethane_Dairy_Equations.VEERG_3_3_1_1__4_AdditionalIntakeForMilkProduction(G75, $I$67,$I$68,$I$69,G24)</f>
        <v>0</v>
      </c>
      <c r="H80" s="15" cm="1">
        <f t="array" ref="H80">EntericMethane_Dairy_Equations.VEERG_3_3_1_1__4_AdditionalIntakeForMilkProduction(H75, $I$67,$I$68,$I$69,H24)</f>
        <v>0</v>
      </c>
      <c r="I80" s="16" t="str">
        <f>$E$62</f>
        <v>kg DM/head/day</v>
      </c>
      <c r="M80" s="15" cm="1">
        <f t="array" ref="M80">EntericMethane_Dairy_Equations.VEERG_3_3_1_1__4_AdditionalIntakeForMilkProduction(IF(I64="Milk solids", M50, D75),$I$67,$I$68,$I$69,D24)</f>
        <v>9.5798721636071917</v>
      </c>
      <c r="N80" s="15" cm="1">
        <f t="array" ref="N80">EntericMethane_Dairy_Equations.VEERG_3_3_1_1__4_AdditionalIntakeForMilkProduction(E75, $I$67,$I$68,$I$69,N24)</f>
        <v>0</v>
      </c>
      <c r="O80" s="15" cm="1">
        <f t="array" ref="O80">EntericMethane_Dairy_Equations.VEERG_3_3_1_1__4_AdditionalIntakeForMilkProduction(F75, $I$67,$I$68,$I$69,O24)</f>
        <v>0</v>
      </c>
      <c r="P80" s="15" cm="1">
        <f t="array" ref="P80">EntericMethane_Dairy_Equations.VEERG_3_3_1_1__4_AdditionalIntakeForMilkProduction(G75, $I$67,$I$68,$I$69,P24)</f>
        <v>0</v>
      </c>
      <c r="Q80" s="15" cm="1">
        <f t="array" ref="Q80">EntericMethane_Dairy_Equations.VEERG_3_3_1_1__4_AdditionalIntakeForMilkProduction(H75, $I$67,$I$68,$I$69,Q24)</f>
        <v>0</v>
      </c>
      <c r="R80" s="16" t="str">
        <f>$E$62</f>
        <v>kg DM/head/day</v>
      </c>
    </row>
    <row r="81" spans="3:19" ht="20.100000000000001" customHeight="1" x14ac:dyDescent="0.25"/>
    <row r="82" spans="3:19" ht="20.100000000000001" customHeight="1" x14ac:dyDescent="0.25"/>
    <row r="83" spans="3:19" ht="20.100000000000001" customHeight="1" x14ac:dyDescent="0.25">
      <c r="C83" s="89"/>
      <c r="D83" s="89"/>
      <c r="E83" s="89"/>
      <c r="F83" s="89"/>
      <c r="G83" s="89"/>
      <c r="H83" s="89"/>
      <c r="I83" s="89"/>
      <c r="J83" s="89"/>
      <c r="L83" s="89"/>
      <c r="M83" s="89"/>
      <c r="N83" s="89"/>
      <c r="O83" s="89"/>
      <c r="P83" s="89"/>
      <c r="Q83" s="89"/>
      <c r="R83" s="89"/>
      <c r="S83" s="89"/>
    </row>
    <row r="84" spans="3:19" ht="20.100000000000001" customHeight="1" x14ac:dyDescent="0.25">
      <c r="D84" s="2" t="str" cm="1">
        <f t="array" ref="D84">EntericMethane_Dairy_Equations.VEERG_3_3_1_1__3_DryMatterFeedIntake_Title()</f>
        <v>Feed intake</v>
      </c>
    </row>
    <row r="85" spans="3:19" ht="20.100000000000001" customHeight="1" x14ac:dyDescent="0.25">
      <c r="D85" s="17" t="str" cm="1">
        <f t="array" ref="D85">EntericMethane_Dairy_Equations.VEERG_3_3_1_1__3_DryMatterFeedIntake_Source()</f>
        <v>VEERG 2026: 3.3.1.1, Equation (3)</v>
      </c>
    </row>
    <row r="86" spans="3:19" ht="20.100000000000001" customHeight="1" x14ac:dyDescent="0.25">
      <c r="D86" s="117" t="s">
        <v>343</v>
      </c>
      <c r="E86" s="117" t="str" cm="1">
        <f t="array" aca="1" ref="E86" ca="1">Common_InputFunctions.Utility_DisplayFunctionName(D115)</f>
        <v>=EntericMethane_Dairy_Equations.VEERG_3_3_1_1__3_DryMatterFeedIntake</v>
      </c>
    </row>
    <row r="87" spans="3:19" ht="20.100000000000001" customHeight="1" x14ac:dyDescent="0.25"/>
    <row r="88" spans="3:19" ht="20.100000000000001" customHeight="1" x14ac:dyDescent="0.25"/>
    <row r="89" spans="3:19" ht="20.100000000000001" customHeight="1" x14ac:dyDescent="0.25">
      <c r="D89" s="76" t="s">
        <v>344</v>
      </c>
      <c r="E89" s="1" t="str" cm="1">
        <f t="array" ref="E89">EntericMethane_Dairy_Equations.VEERG_3_3_1_1__3_DryMatterFeedIntake_Variable()</f>
        <v>I_j</v>
      </c>
    </row>
    <row r="90" spans="3:19" ht="20.100000000000001" customHeight="1" x14ac:dyDescent="0.25">
      <c r="D90" s="76" t="s">
        <v>118</v>
      </c>
      <c r="E90" s="9" t="str" cm="1">
        <f t="array" ref="E90">EntericMethane_Dairy_Equations.VEERG_3_3_1_1__3_DryMatterFeedIntake_Unit()</f>
        <v>kg DM/head/day</v>
      </c>
    </row>
    <row r="91" spans="3:19" ht="20.100000000000001" customHeight="1" x14ac:dyDescent="0.25"/>
    <row r="92" spans="3:19" ht="20.100000000000001" customHeight="1" x14ac:dyDescent="0.25">
      <c r="D92" s="119" t="str" cm="1">
        <f t="array" ref="D92:E95">_xlfn.CHOOSECOLS(EntericMethane_Dairy_Equations.VEERG_3_3_1_1__3_DryMatterFeedIntake_Arguments(),1,2)</f>
        <v>W_j</v>
      </c>
      <c r="E92" s="124" t="str">
        <v>liveweight</v>
      </c>
      <c r="F92" s="125"/>
      <c r="G92" s="119" t="str" cm="1">
        <f t="array" ref="G92:H95">_xlfn.CHOOSECOLS(EntericMethane_Dairy_Equations.VEERG_3_3_1_1__3_DryMatterFeedIntake_Arguments(),3,4)</f>
        <v>kg</v>
      </c>
      <c r="H92" s="120" t="str">
        <v>Input</v>
      </c>
      <c r="I92" s="126" t="str" cm="1">
        <f t="array" aca="1" ref="I92" ca="1">HYPERLINK(Common_InputFunctions.Utility_SourceHyperlink($D$97), $D$97)</f>
        <v>M1_Table_W_j</v>
      </c>
    </row>
    <row r="93" spans="3:19" ht="20.100000000000001" customHeight="1" x14ac:dyDescent="0.25">
      <c r="D93" s="119" t="str">
        <v>LWG_j</v>
      </c>
      <c r="E93" s="124" t="str">
        <v>liveweight gain</v>
      </c>
      <c r="F93" s="125"/>
      <c r="G93" s="119" t="str">
        <v>kg/head/day</v>
      </c>
      <c r="H93" s="120" t="str">
        <v>Input</v>
      </c>
      <c r="I93" s="126" t="str" cm="1">
        <f t="array" aca="1" ref="I93" ca="1">HYPERLINK(Common_InputFunctions.Utility_SourceHyperlink($D$102), $D$102)</f>
        <v>M1_Table_LWG_j</v>
      </c>
    </row>
    <row r="94" spans="3:19" ht="20.100000000000001" customHeight="1" x14ac:dyDescent="0.25">
      <c r="D94" s="119" t="str">
        <v>MR_j</v>
      </c>
      <c r="E94" s="124" t="str">
        <v>increase in metabolic rate when producing milk</v>
      </c>
      <c r="F94" s="125"/>
      <c r="G94" s="119" t="str">
        <v>fraction</v>
      </c>
      <c r="H94" s="127" t="str">
        <v>Constant</v>
      </c>
      <c r="I94" s="126" t="str" cm="1">
        <f t="array" aca="1" ref="I94" ca="1">HYPERLINK(Common_InputFunctions.Utility_SourceHyperlink($D$107), $D$107)</f>
        <v>Table_MR_j</v>
      </c>
    </row>
    <row r="95" spans="3:19" ht="20.100000000000001" customHeight="1" x14ac:dyDescent="0.25">
      <c r="D95" s="119" t="str">
        <v>MI_j</v>
      </c>
      <c r="E95" s="124" t="str">
        <v>additional intake required for milk production</v>
      </c>
      <c r="F95" s="125"/>
      <c r="G95" s="119" t="str">
        <v>kg DM/head/day</v>
      </c>
      <c r="H95" s="127" t="str">
        <v>Calculated from 3.3.1.1 (4)</v>
      </c>
      <c r="I95" s="126" t="str" cm="1">
        <f t="array" aca="1" ref="I95" ca="1">HYPERLINK(Common_InputFunctions.Utility_SourceHyperlink($D$77), $D$77)</f>
        <v>M1_Table_MI_j</v>
      </c>
    </row>
    <row r="96" spans="3:19" ht="20.100000000000001" customHeight="1" x14ac:dyDescent="0.25"/>
    <row r="97" spans="4:18" ht="20.100000000000001" customHeight="1" x14ac:dyDescent="0.25">
      <c r="D97" s="121" t="s">
        <v>366</v>
      </c>
      <c r="M97" s="121" t="s">
        <v>367</v>
      </c>
    </row>
    <row r="98" spans="4:18" ht="20.100000000000001" customHeight="1" x14ac:dyDescent="0.25">
      <c r="D98" s="122" t="s">
        <v>368</v>
      </c>
      <c r="M98" s="122" t="s">
        <v>369</v>
      </c>
    </row>
    <row r="99" spans="4:18" ht="20.100000000000001" customHeight="1" x14ac:dyDescent="0.25">
      <c r="D99" s="81" t="s">
        <v>295</v>
      </c>
      <c r="E99" s="81" t="s">
        <v>296</v>
      </c>
      <c r="F99" s="81" t="s">
        <v>297</v>
      </c>
      <c r="G99" s="81" t="s">
        <v>298</v>
      </c>
      <c r="H99" s="81" t="s">
        <v>299</v>
      </c>
      <c r="M99" s="81" t="s">
        <v>295</v>
      </c>
      <c r="N99" s="81" t="s">
        <v>296</v>
      </c>
      <c r="O99" s="81" t="s">
        <v>297</v>
      </c>
      <c r="P99" s="81" t="s">
        <v>298</v>
      </c>
      <c r="Q99" s="81" t="s">
        <v>299</v>
      </c>
    </row>
    <row r="100" spans="4:18" ht="20.100000000000001" customHeight="1" x14ac:dyDescent="0.25">
      <c r="D100" s="15">
        <f>'Input - Dairy'!$E$14</f>
        <v>550</v>
      </c>
      <c r="E100" s="15">
        <f>'Input - Dairy'!$F$14</f>
        <v>380</v>
      </c>
      <c r="F100" s="15">
        <f>'Input - Dairy'!$G$14</f>
        <v>155</v>
      </c>
      <c r="G100" s="15">
        <f>'Input - Dairy'!$H$14</f>
        <v>600</v>
      </c>
      <c r="H100" s="15">
        <f>'Input - Dairy'!$I$14</f>
        <v>225</v>
      </c>
      <c r="I100" s="16" t="s">
        <v>304</v>
      </c>
      <c r="M100" s="15">
        <f>'Input - Dairy'!$E$18</f>
        <v>550</v>
      </c>
      <c r="N100" s="15">
        <f>'Input - Dairy'!$F$18</f>
        <v>380</v>
      </c>
      <c r="O100" s="15">
        <f>'Input - Dairy'!$G$18</f>
        <v>155</v>
      </c>
      <c r="P100" s="15">
        <f>'Input - Dairy'!$H$18</f>
        <v>600</v>
      </c>
      <c r="Q100" s="15">
        <f>'Input - Dairy'!$I$18</f>
        <v>225</v>
      </c>
      <c r="R100" s="16" t="s">
        <v>304</v>
      </c>
    </row>
    <row r="101" spans="4:18" ht="20.100000000000001" customHeight="1" x14ac:dyDescent="0.25"/>
    <row r="102" spans="4:18" ht="20.100000000000001" customHeight="1" x14ac:dyDescent="0.25">
      <c r="D102" s="121" t="s">
        <v>370</v>
      </c>
      <c r="M102" s="121" t="s">
        <v>371</v>
      </c>
    </row>
    <row r="103" spans="4:18" ht="20.100000000000001" customHeight="1" x14ac:dyDescent="0.25">
      <c r="D103" s="122" t="s">
        <v>372</v>
      </c>
      <c r="M103" s="122" t="s">
        <v>373</v>
      </c>
    </row>
    <row r="104" spans="4:18" ht="20.100000000000001" customHeight="1" x14ac:dyDescent="0.25">
      <c r="D104" s="81" t="s">
        <v>295</v>
      </c>
      <c r="E104" s="81" t="s">
        <v>296</v>
      </c>
      <c r="F104" s="81" t="s">
        <v>297</v>
      </c>
      <c r="G104" s="81" t="s">
        <v>298</v>
      </c>
      <c r="H104" s="81" t="s">
        <v>299</v>
      </c>
      <c r="M104" s="81" t="s">
        <v>295</v>
      </c>
      <c r="N104" s="81" t="s">
        <v>296</v>
      </c>
      <c r="O104" s="81" t="s">
        <v>297</v>
      </c>
      <c r="P104" s="81" t="s">
        <v>298</v>
      </c>
      <c r="Q104" s="81" t="s">
        <v>299</v>
      </c>
    </row>
    <row r="105" spans="4:18" ht="20.100000000000001" customHeight="1" x14ac:dyDescent="0.25">
      <c r="D105" s="15">
        <f>'Input - Dairy'!$E$15</f>
        <v>1.6E-2</v>
      </c>
      <c r="E105" s="15">
        <f>'Input - Dairy'!$F$15</f>
        <v>0.6</v>
      </c>
      <c r="F105" s="15">
        <f>'Input - Dairy'!$G$15</f>
        <v>0.56999999999999995</v>
      </c>
      <c r="G105" s="15">
        <f>'Input - Dairy'!$H$15</f>
        <v>0.1</v>
      </c>
      <c r="H105" s="15">
        <f>'Input - Dairy'!$I$15</f>
        <v>0.8</v>
      </c>
      <c r="I105" s="16" t="s">
        <v>306</v>
      </c>
      <c r="M105" s="15">
        <f>'Input - Dairy'!$E$19</f>
        <v>1.6E-2</v>
      </c>
      <c r="N105" s="15">
        <f>'Input - Dairy'!$F$19</f>
        <v>0.6</v>
      </c>
      <c r="O105" s="15">
        <f>'Input - Dairy'!$G$19</f>
        <v>0.56999999999999995</v>
      </c>
      <c r="P105" s="15">
        <f>'Input - Dairy'!$H$19</f>
        <v>0.1</v>
      </c>
      <c r="Q105" s="15">
        <f>'Input - Dairy'!$I$19</f>
        <v>0.8</v>
      </c>
      <c r="R105" s="16" t="s">
        <v>306</v>
      </c>
    </row>
    <row r="106" spans="4:18" ht="20.100000000000001" customHeight="1" x14ac:dyDescent="0.25"/>
    <row r="107" spans="4:18" ht="20.100000000000001" customHeight="1" x14ac:dyDescent="0.25">
      <c r="D107" s="121" t="s">
        <v>374</v>
      </c>
    </row>
    <row r="108" spans="4:18" ht="20.100000000000001" customHeight="1" x14ac:dyDescent="0.25">
      <c r="D108" s="122" t="s">
        <v>375</v>
      </c>
    </row>
    <row r="109" spans="4:18" ht="20.100000000000001" customHeight="1" x14ac:dyDescent="0.25">
      <c r="D109" s="123" t="s">
        <v>295</v>
      </c>
      <c r="E109" s="123" t="s">
        <v>296</v>
      </c>
      <c r="F109" s="123" t="s">
        <v>297</v>
      </c>
      <c r="G109" s="123" t="s">
        <v>298</v>
      </c>
      <c r="H109" s="123" t="s">
        <v>299</v>
      </c>
    </row>
    <row r="110" spans="4:18" ht="20.100000000000001" customHeight="1" x14ac:dyDescent="0.25">
      <c r="D110" s="15">
        <f>'Constants - Dairy'!$E$108</f>
        <v>1.1000000000000001</v>
      </c>
      <c r="E110" s="15">
        <f>'Constants - Dairy'!$E$109</f>
        <v>1</v>
      </c>
      <c r="F110" s="15">
        <f>'Constants - Dairy'!$E$109</f>
        <v>1</v>
      </c>
      <c r="G110" s="15">
        <f>'Constants - Dairy'!$E$109</f>
        <v>1</v>
      </c>
      <c r="H110" s="15">
        <f>'Constants - Dairy'!$E$109</f>
        <v>1</v>
      </c>
      <c r="I110" s="16" t="s">
        <v>311</v>
      </c>
    </row>
    <row r="111" spans="4:18" ht="20.100000000000001" customHeight="1" x14ac:dyDescent="0.25"/>
    <row r="112" spans="4:18" ht="20.100000000000001" customHeight="1" x14ac:dyDescent="0.25">
      <c r="D112" s="121" t="s">
        <v>376</v>
      </c>
      <c r="M112" s="121" t="s">
        <v>377</v>
      </c>
    </row>
    <row r="113" spans="3:19" ht="20.100000000000001" customHeight="1" x14ac:dyDescent="0.25">
      <c r="D113" s="122" t="s">
        <v>378</v>
      </c>
      <c r="M113" s="122" t="s">
        <v>379</v>
      </c>
    </row>
    <row r="114" spans="3:19" ht="20.100000000000001" customHeight="1" x14ac:dyDescent="0.25">
      <c r="D114" s="123" t="s">
        <v>295</v>
      </c>
      <c r="E114" s="123" t="s">
        <v>296</v>
      </c>
      <c r="F114" s="123" t="s">
        <v>297</v>
      </c>
      <c r="G114" s="123" t="s">
        <v>298</v>
      </c>
      <c r="H114" s="123" t="s">
        <v>299</v>
      </c>
      <c r="M114" s="123" t="s">
        <v>295</v>
      </c>
      <c r="N114" s="123" t="s">
        <v>296</v>
      </c>
      <c r="O114" s="123" t="s">
        <v>297</v>
      </c>
      <c r="P114" s="123" t="s">
        <v>298</v>
      </c>
      <c r="Q114" s="123" t="s">
        <v>299</v>
      </c>
    </row>
    <row r="115" spans="3:19" ht="20.100000000000001" customHeight="1" x14ac:dyDescent="0.25">
      <c r="D115" s="15" cm="1">
        <f t="array" ref="D115">EntericMethane_Dairy_Equations.VEERG_3_3_1_1__3_DryMatterFeedIntake(D100,D105,D110,D80)</f>
        <v>18.834317684367193</v>
      </c>
      <c r="E115" s="15" cm="1">
        <f t="array" ref="E115">EntericMethane_Dairy_Equations.VEERG_3_3_1_1__3_DryMatterFeedIntake(E100,E105,E110,E80)</f>
        <v>7.4188685375999972</v>
      </c>
      <c r="F115" s="15" cm="1">
        <f t="array" ref="F115">EntericMethane_Dairy_Equations.VEERG_3_3_1_1__3_DryMatterFeedIntake(F100,F105,F110,F80)</f>
        <v>4.0231734662249998</v>
      </c>
      <c r="G115" s="15" cm="1">
        <f t="array" ref="G115">EntericMethane_Dairy_Equations.VEERG_3_3_1_1__3_DryMatterFeedIntake(G100,G105,G110,G80)</f>
        <v>9.0270202499999979</v>
      </c>
      <c r="H115" s="15" cm="1">
        <f t="array" ref="H115">EntericMethane_Dairy_Equations.VEERG_3_3_1_1__3_DryMatterFeedIntake(H100,H105,H110,H80)</f>
        <v>5.4143472656250013</v>
      </c>
      <c r="I115" s="16" t="str">
        <f>$E$90</f>
        <v>kg DM/head/day</v>
      </c>
      <c r="M115" s="15" cm="1">
        <f t="array" ref="M115">EntericMethane_Dairy_Equations.VEERG_3_3_1_1__3_DryMatterFeedIntake(M100,M105,D110,M80)</f>
        <v>18.834317684367193</v>
      </c>
      <c r="N115" s="15" cm="1">
        <f t="array" ref="N115">EntericMethane_Dairy_Equations.VEERG_3_3_1_1__3_DryMatterFeedIntake(N100,N105,E110,N80)</f>
        <v>7.4188685375999972</v>
      </c>
      <c r="O115" s="15" cm="1">
        <f t="array" ref="O115">EntericMethane_Dairy_Equations.VEERG_3_3_1_1__3_DryMatterFeedIntake(O100,O105,F110,O80)</f>
        <v>4.0231734662249998</v>
      </c>
      <c r="P115" s="15" cm="1">
        <f t="array" ref="P115">EntericMethane_Dairy_Equations.VEERG_3_3_1_1__3_DryMatterFeedIntake(P100,P105,G110,P80)</f>
        <v>9.0270202499999979</v>
      </c>
      <c r="Q115" s="15" cm="1">
        <f t="array" ref="Q115">EntericMethane_Dairy_Equations.VEERG_3_3_1_1__3_DryMatterFeedIntake(Q100,Q105,H110,Q80)</f>
        <v>5.4143472656250013</v>
      </c>
      <c r="R115" s="16" t="str">
        <f>$E$90</f>
        <v>kg DM/head/day</v>
      </c>
    </row>
    <row r="116" spans="3:19" ht="20.100000000000001" customHeight="1" x14ac:dyDescent="0.25"/>
    <row r="117" spans="3:19" ht="20.100000000000001" customHeight="1" x14ac:dyDescent="0.25"/>
    <row r="118" spans="3:19" ht="20.100000000000001" customHeight="1" x14ac:dyDescent="0.25">
      <c r="C118" s="89"/>
      <c r="D118" s="89"/>
      <c r="E118" s="89"/>
      <c r="F118" s="89"/>
      <c r="G118" s="89"/>
      <c r="H118" s="89"/>
      <c r="I118" s="89"/>
      <c r="J118" s="89"/>
      <c r="L118" s="89"/>
      <c r="M118" s="89"/>
      <c r="N118" s="89"/>
      <c r="O118" s="89"/>
      <c r="P118" s="89"/>
      <c r="Q118" s="89"/>
      <c r="R118" s="89"/>
      <c r="S118" s="89"/>
    </row>
    <row r="119" spans="3:19" ht="20.100000000000001" customHeight="1" x14ac:dyDescent="0.25">
      <c r="D119" s="78" t="str" cm="1">
        <f t="array" ref="D119">EntericMethane_Dairy_Equations.VEERG_3_3_1_1__2_DailyEntericMethaneProduction_Title()</f>
        <v>Daily production of enteric methane</v>
      </c>
    </row>
    <row r="120" spans="3:19" ht="20.100000000000001" customHeight="1" x14ac:dyDescent="0.25">
      <c r="D120" s="17" t="str" cm="1">
        <f t="array" ref="D120">EntericMethane_Dairy_Equations.VEERG_3_3_1_1__2_DailyEntericMethaneProduction_Source()</f>
        <v>VEERG 2026: 3.3.1.1, Equation (2)</v>
      </c>
    </row>
    <row r="121" spans="3:19" ht="20.100000000000001" customHeight="1" x14ac:dyDescent="0.25">
      <c r="D121" s="117" t="s">
        <v>343</v>
      </c>
      <c r="E121" s="117" t="str" cm="1">
        <f t="array" aca="1" ref="E121" ca="1">Common_InputFunctions.Utility_DisplayFunctionName(D132)</f>
        <v>=EntericMethane_Dairy_Equations.VEERG_3_3_1_1__2_DailyEntericMethaneProduction</v>
      </c>
    </row>
    <row r="122" spans="3:19" ht="20.100000000000001" customHeight="1" x14ac:dyDescent="0.25"/>
    <row r="123" spans="3:19" ht="20.100000000000001" customHeight="1" x14ac:dyDescent="0.25"/>
    <row r="124" spans="3:19" ht="20.100000000000001" customHeight="1" x14ac:dyDescent="0.25">
      <c r="D124" s="76" t="s">
        <v>344</v>
      </c>
      <c r="E124" s="1" t="str" cm="1">
        <f t="array" ref="E124">EntericMethane_Dairy_Equations.VEERG_3_3_1_1__2_DailyEntericMethaneProduction_Variable()</f>
        <v>M_j</v>
      </c>
    </row>
    <row r="125" spans="3:19" ht="20.100000000000001" customHeight="1" x14ac:dyDescent="0.25">
      <c r="D125" s="76" t="s">
        <v>118</v>
      </c>
      <c r="E125" s="9" t="str" cm="1">
        <f t="array" ref="E125">EntericMethane_Dairy_Equations.VEERG_3_3_1_1__2_DailyEntericMethaneProduction_Unit()</f>
        <v>kg CH4/head/day</v>
      </c>
    </row>
    <row r="126" spans="3:19" ht="20.100000000000001" customHeight="1" x14ac:dyDescent="0.25"/>
    <row r="127" spans="3:19" ht="20.100000000000001" customHeight="1" x14ac:dyDescent="0.25">
      <c r="D127" s="119" t="str" cm="1">
        <f t="array" ref="D127:G127">EntericMethane_Dairy_Equations.VEERG_3_3_1_1__2_DailyEntericMethaneProduction_Arguments()</f>
        <v>I_j</v>
      </c>
      <c r="E127" s="119" t="str">
        <v>dry matter feed intake</v>
      </c>
      <c r="F127" s="119" t="str">
        <v>kg DM/head/day</v>
      </c>
      <c r="G127" s="127" t="str">
        <v>Calculated from 3.3.1.1 (3)</v>
      </c>
      <c r="H127" s="126" t="str" cm="1">
        <f t="array" aca="1" ref="H127" ca="1">HYPERLINK(Common_InputFunctions.Utility_SourceHyperlink($D$112),$D$112)</f>
        <v>M1_Table_I_j</v>
      </c>
    </row>
    <row r="128" spans="3:19" ht="20.100000000000001" customHeight="1" x14ac:dyDescent="0.25"/>
    <row r="129" spans="3:19" ht="20.100000000000001" customHeight="1" x14ac:dyDescent="0.25">
      <c r="D129" s="121" t="s">
        <v>615</v>
      </c>
      <c r="M129" s="121" t="s">
        <v>616</v>
      </c>
    </row>
    <row r="130" spans="3:19" ht="20.100000000000001" customHeight="1" x14ac:dyDescent="0.25">
      <c r="D130" s="122" t="s">
        <v>617</v>
      </c>
      <c r="M130" s="122" t="s">
        <v>618</v>
      </c>
    </row>
    <row r="131" spans="3:19" ht="20.100000000000001" customHeight="1" x14ac:dyDescent="0.25">
      <c r="D131" s="123" t="s">
        <v>295</v>
      </c>
      <c r="E131" s="123" t="s">
        <v>296</v>
      </c>
      <c r="F131" s="123" t="s">
        <v>297</v>
      </c>
      <c r="G131" s="123" t="s">
        <v>298</v>
      </c>
      <c r="H131" s="123" t="s">
        <v>299</v>
      </c>
      <c r="M131" s="123" t="s">
        <v>295</v>
      </c>
      <c r="N131" s="123" t="s">
        <v>296</v>
      </c>
      <c r="O131" s="123" t="s">
        <v>297</v>
      </c>
      <c r="P131" s="123" t="s">
        <v>298</v>
      </c>
      <c r="Q131" s="123" t="s">
        <v>299</v>
      </c>
    </row>
    <row r="132" spans="3:19" ht="20.100000000000001" customHeight="1" x14ac:dyDescent="0.25">
      <c r="D132" s="15" cm="1">
        <f t="array" ref="D132">EntericMethane_Dairy_Equations.VEERG_3_3_1_1__2_DailyEntericMethaneProduction(D115)</f>
        <v>0.38987037606640085</v>
      </c>
      <c r="E132" s="15" cm="1">
        <f t="array" ref="E132">EntericMethane_Dairy_Equations.VEERG_3_3_1_1__2_DailyEntericMethaneProduction(E115)</f>
        <v>0.15357057872831995</v>
      </c>
      <c r="F132" s="15" cm="1">
        <f t="array" ref="F132">EntericMethane_Dairy_Equations.VEERG_3_3_1_1__2_DailyEntericMethaneProduction(F115)</f>
        <v>8.3279690750857505E-2</v>
      </c>
      <c r="G132" s="15" cm="1">
        <f t="array" ref="G132">EntericMethane_Dairy_Equations.VEERG_3_3_1_1__2_DailyEntericMethaneProduction(G115)</f>
        <v>0.18685931917499995</v>
      </c>
      <c r="H132" s="15" cm="1">
        <f t="array" ref="H132">EntericMethane_Dairy_Equations.VEERG_3_3_1_1__2_DailyEntericMethaneProduction(H115)</f>
        <v>0.11207698839843752</v>
      </c>
      <c r="I132" s="16" t="str">
        <f>$E$125</f>
        <v>kg CH4/head/day</v>
      </c>
      <c r="M132" s="15" cm="1">
        <f t="array" ref="M132">EntericMethane_Dairy_Equations.VEERG_3_3_1_1__2_DailyEntericMethaneProduction(M115)</f>
        <v>0.38987037606640085</v>
      </c>
      <c r="N132" s="15" cm="1">
        <f t="array" ref="N132">EntericMethane_Dairy_Equations.VEERG_3_3_1_1__2_DailyEntericMethaneProduction(N115)</f>
        <v>0.15357057872831995</v>
      </c>
      <c r="O132" s="15" cm="1">
        <f t="array" ref="O132">EntericMethane_Dairy_Equations.VEERG_3_3_1_1__2_DailyEntericMethaneProduction(O115)</f>
        <v>8.3279690750857505E-2</v>
      </c>
      <c r="P132" s="15" cm="1">
        <f t="array" ref="P132">EntericMethane_Dairy_Equations.VEERG_3_3_1_1__2_DailyEntericMethaneProduction(P115)</f>
        <v>0.18685931917499995</v>
      </c>
      <c r="Q132" s="15" cm="1">
        <f t="array" ref="Q132">EntericMethane_Dairy_Equations.VEERG_3_3_1_1__2_DailyEntericMethaneProduction(Q115)</f>
        <v>0.11207698839843752</v>
      </c>
      <c r="R132" s="16" t="str">
        <f>$E$125</f>
        <v>kg CH4/head/day</v>
      </c>
    </row>
    <row r="133" spans="3:19" ht="20.100000000000001" customHeight="1" x14ac:dyDescent="0.25"/>
    <row r="134" spans="3:19" ht="20.100000000000001" customHeight="1" x14ac:dyDescent="0.25"/>
    <row r="135" spans="3:19" ht="20.100000000000001" customHeight="1" x14ac:dyDescent="0.25">
      <c r="C135" s="89"/>
      <c r="D135" s="89"/>
      <c r="E135" s="89"/>
      <c r="F135" s="89"/>
      <c r="G135" s="89"/>
      <c r="H135" s="89"/>
      <c r="I135" s="89"/>
      <c r="J135" s="89"/>
      <c r="L135" s="89"/>
      <c r="M135" s="89"/>
      <c r="N135" s="89"/>
      <c r="O135" s="89"/>
      <c r="P135" s="89"/>
      <c r="Q135" s="89"/>
      <c r="R135" s="89"/>
      <c r="S135" s="89"/>
    </row>
    <row r="136" spans="3:19" ht="20.100000000000001" customHeight="1" x14ac:dyDescent="0.25">
      <c r="D136" s="78" t="str" cm="1">
        <f t="array" ref="D136">EntericMethane_Dairy_Equations.VEERG_3_3_1_1__1_TotalAnnualMethaneFromEntericFermentation_Title()</f>
        <v>Total annual methane production from enteric fermentation in dairy cattle</v>
      </c>
    </row>
    <row r="137" spans="3:19" ht="20.100000000000001" customHeight="1" x14ac:dyDescent="0.25">
      <c r="D137" s="17" t="str" cm="1">
        <f t="array" ref="D137">EntericMethane_Dairy_Equations.VEERG_3_3_1_1__1_TotalAnnualMethaneFromEntericFermentation_Source()</f>
        <v>VEERG 2026: 3.3.1.1, Equation (1)</v>
      </c>
    </row>
    <row r="138" spans="3:19" ht="20.100000000000001" customHeight="1" x14ac:dyDescent="0.25">
      <c r="D138" s="25" t="str" cm="1">
        <f t="array" ref="D138">EntericMethane_Dairy_Equations.VEERG_3_3_1_1__1_TotalAnnualMethaneFromEntericFermentation_Variation()</f>
        <v>VARIATION ON SOURCE: Added 'DPW' variable to allow for a separate handling of pre-weaned duration.</v>
      </c>
    </row>
    <row r="139" spans="3:19" ht="20.100000000000001" customHeight="1" x14ac:dyDescent="0.25">
      <c r="D139" s="117" t="s">
        <v>343</v>
      </c>
      <c r="E139" s="117" t="str" cm="1">
        <f t="array" aca="1" ref="E139" ca="1">Common_InputFunctions.Utility_DisplayFunctionName(D180)</f>
        <v>=EntericMethane_Dairy_Equations.VEERG_3_3_1_1__1_TotalAnnualMethaneFromEntericFermentationVariation</v>
      </c>
    </row>
    <row r="140" spans="3:19" ht="20.100000000000001" customHeight="1" x14ac:dyDescent="0.25"/>
    <row r="141" spans="3:19" ht="20.100000000000001" customHeight="1" x14ac:dyDescent="0.25"/>
    <row r="142" spans="3:19" ht="20.100000000000001" customHeight="1" x14ac:dyDescent="0.25"/>
    <row r="143" spans="3:19" ht="20.100000000000001" customHeight="1" x14ac:dyDescent="0.25"/>
    <row r="144" spans="3:19" ht="20.100000000000001" customHeight="1" x14ac:dyDescent="0.25"/>
    <row r="145" spans="4:9" ht="20.100000000000001" customHeight="1" x14ac:dyDescent="0.25">
      <c r="D145" s="76" t="s">
        <v>344</v>
      </c>
      <c r="E145" s="1" t="str" cm="1">
        <f t="array" ref="E145">EntericMethane_Dairy_Equations.VEERG_3_3_1_1__1_TotalAnnualMethaneFromEntericFermentation_Variable()</f>
        <v>E_enteric</v>
      </c>
    </row>
    <row r="146" spans="4:9" ht="20.100000000000001" customHeight="1" x14ac:dyDescent="0.25">
      <c r="D146" s="76" t="s">
        <v>118</v>
      </c>
      <c r="E146" s="9" t="str" cm="1">
        <f t="array" ref="E146">EntericMethane_Dairy_Equations.VEERG_3_3_1_1__1_TotalAnnualMethaneFromEntericFermentation_Unit()</f>
        <v>t CH4</v>
      </c>
    </row>
    <row r="147" spans="4:9" ht="20.100000000000001" customHeight="1" x14ac:dyDescent="0.25"/>
    <row r="148" spans="4:9" ht="20.100000000000001" customHeight="1" x14ac:dyDescent="0.25">
      <c r="D148" s="119" t="str" cm="1">
        <f t="array" ref="D148:E155">_xlfn.CHOOSECOLS(EntericMethane_Dairy_Equations.VEERG_3_3_1_1__1_TotalAnnualMethaneFromEntericFermentation_Arguments(),1,2)</f>
        <v>N_j124</v>
      </c>
      <c r="E148" s="124" t="str">
        <v>number of dairy cattle in classes j=1,2,4</v>
      </c>
      <c r="F148" s="125"/>
      <c r="G148" s="119" t="str" cm="1">
        <f t="array" ref="G148:H155">_xlfn.CHOOSECOLS(EntericMethane_Dairy_Equations.VEERG_3_3_1_1__1_TotalAnnualMethaneFromEntericFermentation_Arguments(),3,4)</f>
        <v>head</v>
      </c>
      <c r="H148" s="120" t="str">
        <v>Input</v>
      </c>
      <c r="I148" s="126" t="str" cm="1">
        <f t="array" aca="1" ref="I148" ca="1">HYPERLINK(Common_InputFunctions.Utility_SourceHyperlink($D$157),$D$157)</f>
        <v>Table_N_j</v>
      </c>
    </row>
    <row r="149" spans="4:9" ht="20.100000000000001" customHeight="1" x14ac:dyDescent="0.25">
      <c r="D149" s="119" t="str">
        <v>M_j124</v>
      </c>
      <c r="E149" s="124" t="str">
        <v>daily enteric methane production for classes j=1,2,4</v>
      </c>
      <c r="F149" s="125"/>
      <c r="G149" s="119" t="str">
        <v>kg CH4/head/day</v>
      </c>
      <c r="H149" s="127" t="str">
        <v>Calculated from 3.3.1.1 (2)</v>
      </c>
      <c r="I149" s="126" t="str" cm="1">
        <f t="array" aca="1" ref="I149" ca="1">HYPERLINK(Common_InputFunctions.Utility_SourceHyperlink($D$129),$D$129)</f>
        <v>M1_Table_M_j</v>
      </c>
    </row>
    <row r="150" spans="4:9" ht="20.100000000000001" customHeight="1" x14ac:dyDescent="0.25">
      <c r="D150" s="119" t="str">
        <v>D_j124</v>
      </c>
      <c r="E150" s="124" t="str">
        <v>duration of stay on the farm for classes j=1,2,4</v>
      </c>
      <c r="F150" s="125"/>
      <c r="G150" s="119" t="str">
        <v>days</v>
      </c>
      <c r="H150" s="120" t="str">
        <v>Input</v>
      </c>
      <c r="I150" s="126" t="str" cm="1">
        <f t="array" aca="1" ref="I150" ca="1">HYPERLINK(Common_InputFunctions.Utility_SourceHyperlink($D$162),$D$162)</f>
        <v>M1_Table_D_j</v>
      </c>
    </row>
    <row r="151" spans="4:9" ht="20.100000000000001" customHeight="1" x14ac:dyDescent="0.25">
      <c r="D151" s="119" t="str">
        <v>N_j35</v>
      </c>
      <c r="E151" s="124" t="str">
        <v>number of dairy cattle in classes j=3,5</v>
      </c>
      <c r="F151" s="125"/>
      <c r="G151" s="119" t="str">
        <v>head</v>
      </c>
      <c r="H151" s="120" t="str">
        <v>Input</v>
      </c>
      <c r="I151" s="126" t="str" cm="1">
        <f t="array" aca="1" ref="I151" ca="1">HYPERLINK(Common_InputFunctions.Utility_SourceHyperlink($D$157),$D$157)</f>
        <v>Table_N_j</v>
      </c>
    </row>
    <row r="152" spans="4:9" ht="20.100000000000001" customHeight="1" x14ac:dyDescent="0.25">
      <c r="D152" s="119" t="str">
        <v>M_j35</v>
      </c>
      <c r="E152" s="124" t="str">
        <v>daily enteric methane production for weaned classes j=3,5</v>
      </c>
      <c r="F152" s="125"/>
      <c r="G152" s="119" t="str">
        <v>kg CH4/head/day</v>
      </c>
      <c r="H152" s="127" t="str">
        <v>Calculated from 3.3.1.1 (2)</v>
      </c>
      <c r="I152" s="126" t="str" cm="1">
        <f t="array" aca="1" ref="I152" ca="1">HYPERLINK(Common_InputFunctions.Utility_SourceHyperlink($D$129),$D$129)</f>
        <v>M1_Table_M_j</v>
      </c>
    </row>
    <row r="153" spans="4:9" ht="20.100000000000001" customHeight="1" x14ac:dyDescent="0.25">
      <c r="D153" s="119" t="str">
        <v>D_j35</v>
      </c>
      <c r="E153" s="124" t="str">
        <v>duration of stay on the farm for weaned classes j=3,5</v>
      </c>
      <c r="F153" s="125"/>
      <c r="G153" s="119" t="str">
        <v>days</v>
      </c>
      <c r="H153" s="120" t="str">
        <v>Input</v>
      </c>
      <c r="I153" s="126" t="str" cm="1">
        <f t="array" aca="1" ref="I153" ca="1">HYPERLINK(Common_InputFunctions.Utility_SourceHyperlink($D$162),$D$162)</f>
        <v>M1_Table_D_j</v>
      </c>
    </row>
    <row r="154" spans="4:9" ht="20.100000000000001" customHeight="1" x14ac:dyDescent="0.25">
      <c r="D154" s="119" t="str">
        <v>DPW_j35</v>
      </c>
      <c r="E154" s="124" t="str">
        <v>duration of stay on the farm for pre-weaned heifer and bull calves</v>
      </c>
      <c r="F154" s="125"/>
      <c r="G154" s="119" t="str">
        <v>days</v>
      </c>
      <c r="H154" s="120" t="str">
        <v>Input</v>
      </c>
      <c r="I154" s="126" t="str" cm="1">
        <f t="array" aca="1" ref="I154" ca="1">HYPERLINK(Common_InputFunctions.Utility_SourceHyperlink($D$167),$D$167)</f>
        <v>M1_Table_DPW_j-3-5</v>
      </c>
    </row>
    <row r="155" spans="4:9" ht="20.100000000000001" customHeight="1" x14ac:dyDescent="0.25">
      <c r="D155" s="119" t="str">
        <v>MPW_ENTERIC_j35</v>
      </c>
      <c r="E155" s="119" t="str">
        <v>daily methane production for pre-weaned heifer and bull calves</v>
      </c>
      <c r="F155" s="119"/>
      <c r="G155" s="119" t="str">
        <v>kg CH4/head/day</v>
      </c>
      <c r="H155" s="127" t="str">
        <v>Constant</v>
      </c>
      <c r="I155" s="126" t="str" cm="1">
        <f t="array" aca="1" ref="I155" ca="1">HYPERLINK(Common_InputFunctions.Utility_SourceHyperlink($D$172),$D$172)</f>
        <v>M1_Table_MPW_j-3-5</v>
      </c>
    </row>
    <row r="156" spans="4:9" ht="20.100000000000001" customHeight="1" x14ac:dyDescent="0.25"/>
    <row r="157" spans="4:9" ht="20.100000000000001" customHeight="1" x14ac:dyDescent="0.25">
      <c r="D157" s="121" t="s">
        <v>417</v>
      </c>
    </row>
    <row r="158" spans="4:9" ht="20.100000000000001" customHeight="1" x14ac:dyDescent="0.25">
      <c r="D158" s="122" t="s">
        <v>619</v>
      </c>
    </row>
    <row r="159" spans="4:9" ht="20.100000000000001" customHeight="1" x14ac:dyDescent="0.25">
      <c r="D159" s="81" t="s">
        <v>295</v>
      </c>
      <c r="E159" s="81" t="s">
        <v>296</v>
      </c>
      <c r="F159" s="81" t="s">
        <v>297</v>
      </c>
      <c r="G159" s="81" t="s">
        <v>298</v>
      </c>
      <c r="H159" s="81" t="s">
        <v>299</v>
      </c>
    </row>
    <row r="160" spans="4:9" ht="20.100000000000001" customHeight="1" x14ac:dyDescent="0.25">
      <c r="D160" s="133">
        <f>'Input - Dairy'!E10</f>
        <v>100</v>
      </c>
      <c r="E160" s="133">
        <f>'Input - Dairy'!F10</f>
        <v>100</v>
      </c>
      <c r="F160" s="133">
        <f>'Input - Dairy'!G10</f>
        <v>100</v>
      </c>
      <c r="G160" s="133">
        <f>'Input - Dairy'!H10</f>
        <v>100</v>
      </c>
      <c r="H160" s="133">
        <f>'Input - Dairy'!I10</f>
        <v>100</v>
      </c>
      <c r="I160" s="9" t="str">
        <f>$G$148</f>
        <v>head</v>
      </c>
    </row>
    <row r="161" spans="4:18" ht="20.100000000000001" customHeight="1" x14ac:dyDescent="0.25"/>
    <row r="162" spans="4:18" ht="20.100000000000001" customHeight="1" x14ac:dyDescent="0.25">
      <c r="D162" s="121" t="s">
        <v>420</v>
      </c>
      <c r="M162" s="121" t="s">
        <v>421</v>
      </c>
    </row>
    <row r="163" spans="4:18" ht="20.100000000000001" customHeight="1" x14ac:dyDescent="0.25">
      <c r="D163" s="122" t="s">
        <v>620</v>
      </c>
      <c r="M163" s="122" t="s">
        <v>621</v>
      </c>
    </row>
    <row r="164" spans="4:18" ht="20.100000000000001" customHeight="1" x14ac:dyDescent="0.25">
      <c r="D164" s="81" t="s">
        <v>295</v>
      </c>
      <c r="E164" s="81" t="s">
        <v>296</v>
      </c>
      <c r="F164" s="81" t="s">
        <v>297</v>
      </c>
      <c r="G164" s="81" t="s">
        <v>298</v>
      </c>
      <c r="H164" s="81" t="s">
        <v>299</v>
      </c>
      <c r="M164" s="81" t="s">
        <v>295</v>
      </c>
      <c r="N164" s="81" t="s">
        <v>296</v>
      </c>
      <c r="O164" s="81" t="s">
        <v>297</v>
      </c>
      <c r="P164" s="81" t="s">
        <v>298</v>
      </c>
      <c r="Q164" s="81" t="s">
        <v>299</v>
      </c>
    </row>
    <row r="165" spans="4:18" ht="20.100000000000001" customHeight="1" x14ac:dyDescent="0.25">
      <c r="D165" s="15">
        <f>'Input - Dairy'!E24</f>
        <v>365</v>
      </c>
      <c r="E165" s="15">
        <f>'Input - Dairy'!F24</f>
        <v>365</v>
      </c>
      <c r="F165" s="15">
        <f>'Input - Dairy'!G24</f>
        <v>281</v>
      </c>
      <c r="G165" s="15">
        <f>'Input - Dairy'!H24</f>
        <v>365</v>
      </c>
      <c r="H165" s="15">
        <f>'Input - Dairy'!I24</f>
        <v>281</v>
      </c>
      <c r="I165" s="9" t="str">
        <f>$G$150</f>
        <v>days</v>
      </c>
      <c r="M165" s="15">
        <f>'Input - Dairy'!E28</f>
        <v>365</v>
      </c>
      <c r="N165" s="15">
        <f>'Input - Dairy'!F28</f>
        <v>365</v>
      </c>
      <c r="O165" s="15">
        <f>'Input - Dairy'!G28</f>
        <v>281</v>
      </c>
      <c r="P165" s="15">
        <f>'Input - Dairy'!H28</f>
        <v>365</v>
      </c>
      <c r="Q165" s="15">
        <f>'Input - Dairy'!I28</f>
        <v>281</v>
      </c>
      <c r="R165" s="9" t="str">
        <f>$G$150</f>
        <v>days</v>
      </c>
    </row>
    <row r="166" spans="4:18" ht="20.100000000000001" customHeight="1" x14ac:dyDescent="0.25"/>
    <row r="167" spans="4:18" ht="20.100000000000001" customHeight="1" x14ac:dyDescent="0.25">
      <c r="D167" s="121" t="s">
        <v>622</v>
      </c>
      <c r="M167" s="121" t="s">
        <v>623</v>
      </c>
    </row>
    <row r="168" spans="4:18" ht="20.100000000000001" customHeight="1" x14ac:dyDescent="0.25">
      <c r="D168" s="122" t="s">
        <v>624</v>
      </c>
      <c r="M168" s="122" t="s">
        <v>625</v>
      </c>
    </row>
    <row r="169" spans="4:18" ht="20.100000000000001" customHeight="1" x14ac:dyDescent="0.25">
      <c r="D169" s="81" t="s">
        <v>295</v>
      </c>
      <c r="E169" s="81" t="s">
        <v>296</v>
      </c>
      <c r="F169" s="81" t="s">
        <v>297</v>
      </c>
      <c r="G169" s="81" t="s">
        <v>298</v>
      </c>
      <c r="H169" s="81" t="s">
        <v>299</v>
      </c>
      <c r="M169" s="81" t="s">
        <v>295</v>
      </c>
      <c r="N169" s="81" t="s">
        <v>296</v>
      </c>
      <c r="O169" s="81" t="s">
        <v>297</v>
      </c>
      <c r="P169" s="81" t="s">
        <v>298</v>
      </c>
      <c r="Q169" s="81" t="s">
        <v>299</v>
      </c>
    </row>
    <row r="170" spans="4:18" ht="20.100000000000001" customHeight="1" x14ac:dyDescent="0.25">
      <c r="D170" s="15">
        <f>'Input - Dairy'!E25</f>
        <v>0</v>
      </c>
      <c r="E170" s="15">
        <f>'Input - Dairy'!F29</f>
        <v>0</v>
      </c>
      <c r="F170" s="15">
        <f>'Input - Dairy'!G29</f>
        <v>84</v>
      </c>
      <c r="G170" s="15">
        <f>'Input - Dairy'!H29</f>
        <v>0</v>
      </c>
      <c r="H170" s="15">
        <f>'Input - Dairy'!I29</f>
        <v>84</v>
      </c>
      <c r="I170" s="9" t="str">
        <f>$G$150</f>
        <v>days</v>
      </c>
      <c r="M170" s="15">
        <f>'Input - Dairy'!E29</f>
        <v>0</v>
      </c>
      <c r="N170" s="15">
        <f>'Input - Dairy'!F29</f>
        <v>0</v>
      </c>
      <c r="O170" s="15">
        <f>'Input - Dairy'!G29</f>
        <v>84</v>
      </c>
      <c r="P170" s="15">
        <f>'Input - Dairy'!H29</f>
        <v>0</v>
      </c>
      <c r="Q170" s="15">
        <f>'Input - Dairy'!I29</f>
        <v>84</v>
      </c>
      <c r="R170" s="9" t="str">
        <f>$G$150</f>
        <v>days</v>
      </c>
    </row>
    <row r="171" spans="4:18" ht="20.100000000000001" customHeight="1" x14ac:dyDescent="0.25"/>
    <row r="172" spans="4:18" ht="20.100000000000001" customHeight="1" x14ac:dyDescent="0.25">
      <c r="D172" s="121" t="s">
        <v>626</v>
      </c>
    </row>
    <row r="173" spans="4:18" ht="20.100000000000001" customHeight="1" x14ac:dyDescent="0.25">
      <c r="D173" s="122" t="s">
        <v>624</v>
      </c>
    </row>
    <row r="174" spans="4:18" ht="20.100000000000001" customHeight="1" x14ac:dyDescent="0.25">
      <c r="D174" s="123" t="s">
        <v>297</v>
      </c>
      <c r="E174" s="123" t="s">
        <v>299</v>
      </c>
    </row>
    <row r="175" spans="4:18" ht="20.100000000000001" customHeight="1" x14ac:dyDescent="0.25">
      <c r="D175" s="15">
        <f>'Constants - Dairy'!$E$99</f>
        <v>1.7600000000000001E-2</v>
      </c>
      <c r="E175" s="15">
        <f>'Constants - Dairy'!$E$100</f>
        <v>2.0400000000000001E-2</v>
      </c>
      <c r="F175" s="9" t="str">
        <f>G155</f>
        <v>kg CH4/head/day</v>
      </c>
    </row>
    <row r="176" spans="4:18" ht="20.100000000000001" customHeight="1" x14ac:dyDescent="0.25"/>
    <row r="177" spans="1:18" ht="20.100000000000001" customHeight="1" x14ac:dyDescent="0.25">
      <c r="D177" s="121" t="s">
        <v>627</v>
      </c>
      <c r="M177" s="121" t="s">
        <v>627</v>
      </c>
    </row>
    <row r="178" spans="1:18" ht="20.100000000000001" customHeight="1" x14ac:dyDescent="0.25">
      <c r="A178" s="128" t="str">
        <f>HYPERLINK("#A1", "▲ Back to top")</f>
        <v>▲ Back to top</v>
      </c>
      <c r="D178" s="122" t="s">
        <v>628</v>
      </c>
      <c r="M178" s="122" t="s">
        <v>628</v>
      </c>
    </row>
    <row r="179" spans="1:18" ht="20.100000000000001" customHeight="1" x14ac:dyDescent="0.25">
      <c r="D179" s="123" t="s">
        <v>295</v>
      </c>
      <c r="E179" s="123" t="s">
        <v>296</v>
      </c>
      <c r="F179" s="123" t="s">
        <v>297</v>
      </c>
      <c r="G179" s="123" t="s">
        <v>298</v>
      </c>
      <c r="H179" s="123" t="s">
        <v>299</v>
      </c>
      <c r="M179" s="123" t="s">
        <v>295</v>
      </c>
      <c r="N179" s="123" t="s">
        <v>296</v>
      </c>
      <c r="O179" s="123" t="s">
        <v>297</v>
      </c>
      <c r="P179" s="123" t="s">
        <v>298</v>
      </c>
      <c r="Q179" s="123" t="s">
        <v>299</v>
      </c>
    </row>
    <row r="180" spans="1:18" ht="20.100000000000001" customHeight="1" x14ac:dyDescent="0.25">
      <c r="D180" s="15" cm="1">
        <f t="array" ref="D180">EntericMethane_Dairy_Equations.VEERG_3_3_1_1__1_TotalAnnualMethaneFromEntericFermentationVariation(D160,D132,D165,0,0,0,0,0)</f>
        <v>14.230268726423633</v>
      </c>
      <c r="E180" s="15" cm="1">
        <f t="array" ref="E180">EntericMethane_Dairy_Equations.VEERG_3_3_1_1__1_TotalAnnualMethaneFromEntericFermentationVariation(E160,E132,E165,0,0,0,0,0)</f>
        <v>5.6053261235836782</v>
      </c>
      <c r="F180" s="15" cm="1">
        <f t="array" ref="F180">EntericMethane_Dairy_Equations.VEERG_3_3_1_1__1_TotalAnnualMethaneFromEntericFermentationVariation(0,0,0,F160,F132,F165,F170,$D$175)</f>
        <v>2.487999310099096</v>
      </c>
      <c r="G180" s="15" cm="1">
        <f t="array" ref="G180">EntericMethane_Dairy_Equations.VEERG_3_3_1_1__1_TotalAnnualMethaneFromEntericFermentationVariation(G160,G132,G165,0,0,0,0,0)</f>
        <v>6.8203651498874986</v>
      </c>
      <c r="H180" s="15" cm="1">
        <f t="array" ref="H180">EntericMethane_Dairy_Equations.VEERG_3_3_1_1__1_TotalAnnualMethaneFromEntericFermentationVariation(0,0,0,H160,H132,H165,H170,$E$175)</f>
        <v>3.3207233739960946</v>
      </c>
      <c r="I180" s="9" t="str">
        <f>$E$146</f>
        <v>t CH4</v>
      </c>
      <c r="M180" s="15" cm="1">
        <f t="array" ref="M180">EntericMethane_Dairy_Equations.VEERG_3_3_1_1__1_TotalAnnualMethaneFromEntericFermentationVariation(D160,M132,M165,0,0,0,0,0)</f>
        <v>14.230268726423633</v>
      </c>
      <c r="N180" s="15" cm="1">
        <f t="array" ref="N180">EntericMethane_Dairy_Equations.VEERG_3_3_1_1__1_TotalAnnualMethaneFromEntericFermentationVariation(E160,N132,N165,0,0,0,0,0)</f>
        <v>5.6053261235836782</v>
      </c>
      <c r="O180" s="15" cm="1">
        <f t="array" ref="O180">EntericMethane_Dairy_Equations.VEERG_3_3_1_1__1_TotalAnnualMethaneFromEntericFermentationVariation(0,0,0,F160,O132,O165,O170,$D$175)</f>
        <v>2.487999310099096</v>
      </c>
      <c r="P180" s="15" cm="1">
        <f t="array" ref="P180">EntericMethane_Dairy_Equations.VEERG_3_3_1_1__1_TotalAnnualMethaneFromEntericFermentationVariation(G160,P132,P165,0,0,0,0,0)</f>
        <v>6.8203651498874986</v>
      </c>
      <c r="Q180" s="15" cm="1">
        <f t="array" ref="Q180">EntericMethane_Dairy_Equations.VEERG_3_3_1_1__1_TotalAnnualMethaneFromEntericFermentationVariation(0,0,0,H160,Q132,Q165,Q170,$E$175)</f>
        <v>3.3207233739960946</v>
      </c>
      <c r="R180" s="9" t="str">
        <f>$E$146</f>
        <v>t CH4</v>
      </c>
    </row>
    <row r="181" spans="1:18" ht="20.100000000000001" customHeight="1" x14ac:dyDescent="0.25"/>
    <row r="182" spans="1:18" ht="20.100000000000001" customHeight="1" x14ac:dyDescent="0.25">
      <c r="D182" s="88" t="s">
        <v>629</v>
      </c>
      <c r="E182" s="91">
        <f>SUM(D180:H180)</f>
        <v>32.464682683989999</v>
      </c>
      <c r="F182" s="90" t="str">
        <f>$E$146</f>
        <v>t CH4</v>
      </c>
      <c r="M182" s="88" t="s">
        <v>629</v>
      </c>
      <c r="N182" s="91">
        <f>SUM(M180:Q180)</f>
        <v>32.464682683989999</v>
      </c>
      <c r="O182" s="90" t="str">
        <f>$E$146</f>
        <v>t CH4</v>
      </c>
    </row>
    <row r="183" spans="1:18" ht="20.100000000000001" customHeight="1" x14ac:dyDescent="0.25"/>
    <row r="184" spans="1:18" ht="20.100000000000001" customHeight="1" x14ac:dyDescent="0.25">
      <c r="D184" s="131" t="str" cm="1">
        <f t="array" ref="D184:E185">Common_Equations.Common_ConvertCH4ToCO2e_Arguments()</f>
        <v>ECH4</v>
      </c>
      <c r="E184" s="134" t="str">
        <v>Methane emissions (t CH4)</v>
      </c>
      <c r="F184" s="135"/>
      <c r="G184" s="15">
        <f>VEERG_3_3_1_1__1_TotalAnnualMethaneFromEntericFermentationVariation_Result_Method1</f>
        <v>32.464682683989999</v>
      </c>
      <c r="M184" s="131" t="str" cm="1">
        <f t="array" ref="M184:N185">Common_Equations.Common_ConvertCH4ToCO2e_Arguments()</f>
        <v>ECH4</v>
      </c>
      <c r="N184" s="134" t="str">
        <v>Methane emissions (t CH4)</v>
      </c>
      <c r="O184" s="135"/>
      <c r="P184" s="15">
        <f>VEERG_3_3_1_1__1_TotalAnnualMethaneFromEntericFermentationVariation_Result_Method2</f>
        <v>32.464682683989999</v>
      </c>
    </row>
    <row r="185" spans="1:18" ht="20.100000000000001" customHeight="1" x14ac:dyDescent="0.25">
      <c r="D185" s="131" t="str">
        <v>GWPCH4</v>
      </c>
      <c r="E185" s="134" t="str">
        <v>Global warming potential for methane (t CO2-e / t CH4)</v>
      </c>
      <c r="F185" s="135"/>
      <c r="G185" s="15">
        <f>Common_InputFunctions.Utility_LookupValueInTableNumber("CH4",Table_GWPData[Gas],Table_GWPData[CO2-e factor])</f>
        <v>28</v>
      </c>
      <c r="M185" s="131" t="str">
        <v>GWPCH4</v>
      </c>
      <c r="N185" s="134" t="str">
        <v>Global warming potential for methane (t CO2-e / t CH4)</v>
      </c>
      <c r="O185" s="135"/>
      <c r="P185" s="15">
        <f>Common_InputFunctions.Utility_LookupValueInTableNumber("CH4",Table_GWPData[Gas],Table_GWPData[CO2-e factor])</f>
        <v>28</v>
      </c>
    </row>
    <row r="186" spans="1:18" ht="20.100000000000001" customHeight="1" x14ac:dyDescent="0.25"/>
    <row r="187" spans="1:18" ht="20.100000000000001" customHeight="1" x14ac:dyDescent="0.25">
      <c r="D187" s="89" t="s">
        <v>493</v>
      </c>
      <c r="E187" s="89" cm="1">
        <f t="array" ref="E187">Common_Equations.Common_ConvertN2OToCO2e(G184,G185)</f>
        <v>909.01111515171999</v>
      </c>
      <c r="F187" s="94" t="str" cm="1">
        <f t="array" ref="F187">Common_Equations.Common_ConvertN2OToCO2e_Unit()</f>
        <v>t CO2e</v>
      </c>
      <c r="M187" s="89" t="s">
        <v>493</v>
      </c>
      <c r="N187" s="89" cm="1">
        <f t="array" ref="N187">Common_Equations.Common_ConvertN2OToCO2e(P184,P185)</f>
        <v>909.01111515171999</v>
      </c>
      <c r="O187" s="94" t="str" cm="1">
        <f t="array" ref="O187">Common_Equations.Common_ConvertN2OToCO2e_Unit()</f>
        <v>t CO2e</v>
      </c>
    </row>
    <row r="188" spans="1:18" ht="20.100000000000001" customHeight="1" x14ac:dyDescent="0.25"/>
    <row r="189" spans="1:18" ht="20.100000000000001" customHeight="1" x14ac:dyDescent="0.25"/>
    <row r="190" spans="1:18" ht="20.100000000000001" customHeight="1" x14ac:dyDescent="0.25"/>
    <row r="191" spans="1:18" ht="20.100000000000001" customHeight="1" x14ac:dyDescent="0.25"/>
    <row r="192" spans="1:18"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spans="1:1" ht="20.100000000000001" customHeight="1" x14ac:dyDescent="0.25"/>
    <row r="210" spans="1:1" ht="20.100000000000001" customHeight="1" x14ac:dyDescent="0.25"/>
    <row r="211" spans="1:1" ht="20.100000000000001" customHeight="1" x14ac:dyDescent="0.25"/>
    <row r="212" spans="1:1" ht="20.100000000000001" customHeight="1" x14ac:dyDescent="0.25"/>
    <row r="213" spans="1:1" ht="20.100000000000001" customHeight="1" x14ac:dyDescent="0.25"/>
    <row r="214" spans="1:1" ht="20.100000000000001" customHeight="1" x14ac:dyDescent="0.25"/>
    <row r="215" spans="1:1" ht="20.100000000000001" customHeight="1" x14ac:dyDescent="0.25"/>
    <row r="216" spans="1:1" ht="20.100000000000001" customHeight="1" x14ac:dyDescent="0.25"/>
    <row r="217" spans="1:1" ht="20.100000000000001" customHeight="1" x14ac:dyDescent="0.25">
      <c r="A217" s="128" t="str">
        <f>HYPERLINK("#A1", "▲ Back to top")</f>
        <v>▲ Back to top</v>
      </c>
    </row>
    <row r="218" spans="1:1" ht="20.100000000000001" customHeight="1" x14ac:dyDescent="0.25"/>
    <row r="219" spans="1:1" ht="20.100000000000001" customHeight="1" x14ac:dyDescent="0.25"/>
    <row r="220" spans="1:1" ht="20.100000000000001" customHeight="1" x14ac:dyDescent="0.25"/>
    <row r="221" spans="1:1" ht="20.100000000000001" customHeight="1" x14ac:dyDescent="0.25"/>
    <row r="222" spans="1:1" ht="20.100000000000001" customHeight="1" x14ac:dyDescent="0.25"/>
    <row r="223" spans="1:1" ht="20.100000000000001" customHeight="1" x14ac:dyDescent="0.25"/>
    <row r="224" spans="1:1"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5" spans="1:1" x14ac:dyDescent="0.25">
      <c r="A275" s="128" t="str">
        <f>HYPERLINK("#A1", "▲ Back to top")</f>
        <v>▲ Back to top</v>
      </c>
    </row>
  </sheetData>
  <dataValidations count="1">
    <dataValidation operator="equal" allowBlank="1" showInputMessage="1" showErrorMessage="1" sqref="O157:R161 D188:F188 N91:P91 E163:H163 F161:I161 N168:Q168 N156:R156 E173:I173 E178:H178 N268 E211 E208 E264 E261 E215 N208 E268 N261 E151:F151 E168:H168 O155:R155 N211 N215 N264 E158:H158 I157:I160 O171:O172 N163:Q163 F171 G174:I176 F176 O176:R176 N178:Q178" xr:uid="{AD2118B5-8718-4465-932A-16F28B2A32F4}"/>
  </dataValidation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1ABE8-94FE-45E8-811E-C4269839CEE4}">
  <sheetPr>
    <tabColor rgb="FF008000"/>
  </sheetPr>
  <dimension ref="A1:W30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342</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EntericMethane_Dairy_Equations.VEERG_3_3_1_1__6_MetabolisabilityOfDiet_Title()</f>
        <v>Metabolisability of diet</v>
      </c>
    </row>
    <row r="6" spans="1:23" ht="20.100000000000001" customHeight="1" x14ac:dyDescent="0.25">
      <c r="A6" s="5" t="str">
        <f>HYPERLINK("#'Results'!A1", "Results")</f>
        <v>Results</v>
      </c>
      <c r="D6" s="17" t="str" cm="1">
        <f t="array" ref="D6">EntericMethane_Dairy_Equations.VEERG_3_3_1_1__6_MetabolisabilityOfDiet_Source()</f>
        <v>VEERG 2026: 3.3.1.1, Equation (6)</v>
      </c>
    </row>
    <row r="7" spans="1:23" ht="20.100000000000001" customHeight="1" x14ac:dyDescent="0.25">
      <c r="D7" s="25"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D8" s="117" t="s">
        <v>343</v>
      </c>
      <c r="E8" s="117" t="str" cm="1">
        <f t="array" aca="1" ref="E8" ca="1">Common_InputFunctions.Utility_DisplayFunctionName(D24)</f>
        <v>=EntericMethane_Dairy_Equations.VEERG_3_3_1_1__6_MetabolisabilityOfDietVariation</v>
      </c>
    </row>
    <row r="9" spans="1:23" ht="20.100000000000001" customHeight="1" x14ac:dyDescent="0.25">
      <c r="A9" s="7" t="s">
        <v>0</v>
      </c>
    </row>
    <row r="10" spans="1:23" ht="20.100000000000001" customHeight="1" x14ac:dyDescent="0.25">
      <c r="A10" s="5" t="str">
        <f>HYPERLINK("#'Input - Enterprise'!A1", "Enterprise")</f>
        <v>Enterprise</v>
      </c>
    </row>
    <row r="11" spans="1:23" ht="20.100000000000001" customHeight="1" x14ac:dyDescent="0.25">
      <c r="A11" s="5" t="str">
        <f>HYPERLINK("#'Input - Site'!A1", "Site")</f>
        <v>Site</v>
      </c>
      <c r="D11" s="76" t="s">
        <v>344</v>
      </c>
      <c r="E11" s="1" t="str" cm="1">
        <f t="array" ref="E11">EntericMethane_Dairy_Equations.VEERG_3_3_1_1__6_MetabolisabilityOfDiet_Variable()</f>
        <v>qm_j</v>
      </c>
    </row>
    <row r="12" spans="1:23" ht="20.100000000000001" customHeight="1" x14ac:dyDescent="0.25">
      <c r="A12" s="5" t="str">
        <f>HYPERLINK("#'Input - Dairy'!A1", "Dairy")</f>
        <v>Dairy</v>
      </c>
      <c r="D12" s="76" t="s">
        <v>118</v>
      </c>
      <c r="E12" s="9" t="str" cm="1">
        <f t="array" ref="E12">EntericMethane_Dairy_Equations.VEERG_3_3_1_1__6_MetabolisabilityOfDiet_Unit()</f>
        <v>fraction</v>
      </c>
    </row>
    <row r="13" spans="1:23" ht="20.100000000000001" customHeight="1" x14ac:dyDescent="0.25">
      <c r="A13" s="5" t="str">
        <f>HYPERLINK("#'Input - Livestock sales'!A1", "Livestock sales")</f>
        <v>Livestock sales</v>
      </c>
    </row>
    <row r="14" spans="1:23" ht="20.100000000000001" customHeight="1" x14ac:dyDescent="0.25">
      <c r="A14" s="5" t="str">
        <f>HYPERLINK("#'Input - Dairy cattle purchases'!A1", "Dairy cattle purchases")</f>
        <v>Dairy cattle purchases</v>
      </c>
      <c r="D14" s="119" t="str" cm="1">
        <f t="array" ref="D14:E14">_xlfn.CHOOSECOLS(EntericMethane_Dairy_Equations.VEERG_3_3_1_1__6_MetabolisabilityOfDiet_Arguments(), 1,2)</f>
        <v>DMD_j</v>
      </c>
      <c r="E14" s="119" t="str">
        <v>dry matter digestibility expressed as a fraction</v>
      </c>
      <c r="F14" s="119"/>
      <c r="G14" s="119" t="str" cm="1">
        <f t="array" ref="G14:H14">_xlfn.CHOOSECOLS(EntericMethane_Dairy_Equations.VEERG_3_3_1_1__6_MetabolisabilityOfDiet_Arguments(), 3,4)</f>
        <v>fraction</v>
      </c>
      <c r="H14" s="120" t="str">
        <v>Input</v>
      </c>
      <c r="I14" s="119" t="str">
        <f>"See " &amp; D16</f>
        <v>See M1_Table_DMD_j</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345</v>
      </c>
      <c r="O16" s="121" t="s">
        <v>346</v>
      </c>
    </row>
    <row r="17" spans="1:23" ht="20.100000000000001" customHeight="1" x14ac:dyDescent="0.25">
      <c r="A17" s="5" t="str">
        <f>HYPERLINK("#'Input - Fertiliser'!A1", "Fertiliser")</f>
        <v>Fertiliser</v>
      </c>
      <c r="D17" s="122" t="s">
        <v>347</v>
      </c>
      <c r="O17" s="122" t="s">
        <v>348</v>
      </c>
    </row>
    <row r="18" spans="1:23" ht="20.100000000000001" customHeight="1" x14ac:dyDescent="0.25">
      <c r="A18" s="5" t="str">
        <f>HYPERLINK("#'Input - Fuel'!A1", "Fuel")</f>
        <v>Fuel</v>
      </c>
      <c r="D18" s="81" t="s">
        <v>295</v>
      </c>
      <c r="E18" s="81" t="s">
        <v>296</v>
      </c>
      <c r="F18" s="81" t="s">
        <v>297</v>
      </c>
      <c r="G18" s="81" t="s">
        <v>298</v>
      </c>
      <c r="H18" s="81" t="s">
        <v>299</v>
      </c>
      <c r="O18" s="81" t="s">
        <v>295</v>
      </c>
      <c r="P18" s="81" t="s">
        <v>296</v>
      </c>
      <c r="Q18" s="81" t="s">
        <v>297</v>
      </c>
      <c r="R18" s="81" t="s">
        <v>298</v>
      </c>
      <c r="S18" s="81" t="s">
        <v>299</v>
      </c>
    </row>
    <row r="19" spans="1:23" ht="20.100000000000001" customHeight="1" x14ac:dyDescent="0.25">
      <c r="A19" s="5" t="str">
        <f>HYPERLINK("#'Input - Electricity'!A1", "Electricity")</f>
        <v>Electricity</v>
      </c>
      <c r="D19" s="15">
        <f>INDEX(X_Table_Dairy_Diet_Method1,2,2)</f>
        <v>0.75</v>
      </c>
      <c r="E19" s="15">
        <f>INDEX(X_Table_Dairy_Diet_Method1,2,3)</f>
        <v>0.75</v>
      </c>
      <c r="F19" s="15">
        <f>INDEX(X_Table_Dairy_Diet_Method1,2,4)</f>
        <v>0.75</v>
      </c>
      <c r="G19" s="15">
        <f>INDEX(X_Table_Dairy_Diet_Method1,2,5)</f>
        <v>0.75</v>
      </c>
      <c r="H19" s="15">
        <f>INDEX(X_Table_Dairy_Diet_Method1,2,6)</f>
        <v>0.75</v>
      </c>
      <c r="I19" s="16" t="s">
        <v>349</v>
      </c>
      <c r="J19" s="16"/>
      <c r="K19" s="16"/>
      <c r="O19" s="15">
        <f>INDEX(X_Table_Dairy_Diet_Method2,2,2)</f>
        <v>0.75</v>
      </c>
      <c r="P19" s="15">
        <f>INDEX(X_Table_Dairy_Diet_Method2,2,3)</f>
        <v>0.75</v>
      </c>
      <c r="Q19" s="15">
        <f>INDEX(X_Table_Dairy_Diet_Method2,2,4)</f>
        <v>0.75</v>
      </c>
      <c r="R19" s="15">
        <f>INDEX(X_Table_Dairy_Diet_Method2,2,5)</f>
        <v>0.75</v>
      </c>
      <c r="S19" s="15">
        <f>INDEX(X_Table_Dairy_Diet_Method2,2,6)</f>
        <v>0.75</v>
      </c>
      <c r="T19" s="16" t="s">
        <v>349</v>
      </c>
      <c r="U19" s="16"/>
      <c r="V19" s="16"/>
    </row>
    <row r="20" spans="1:23" ht="20.100000000000001" customHeight="1" x14ac:dyDescent="0.25">
      <c r="A20" s="5" t="str">
        <f>HYPERLINK("#'Input - Common farm inputs'!A1", "Common farm inputs")</f>
        <v>Common farm inputs</v>
      </c>
    </row>
    <row r="21" spans="1:23" ht="20.100000000000001" customHeight="1" x14ac:dyDescent="0.25">
      <c r="A21" s="5" t="str">
        <f>HYPERLINK("#'Input - Crop pasture farm input'!A1", "Crop pasture farm input")</f>
        <v>Crop pasture farm input</v>
      </c>
      <c r="D21" s="121" t="s">
        <v>350</v>
      </c>
      <c r="O21" s="121" t="s">
        <v>351</v>
      </c>
    </row>
    <row r="22" spans="1:23" ht="20.100000000000001" customHeight="1" x14ac:dyDescent="0.25">
      <c r="A22" s="5" t="str">
        <f>HYPERLINK("#'Input - Livestock farm Inputs'!A1", "Livestock farm Inputs")</f>
        <v>Livestock farm Inputs</v>
      </c>
      <c r="D22" s="122" t="s">
        <v>352</v>
      </c>
      <c r="O22" s="122" t="s">
        <v>353</v>
      </c>
    </row>
    <row r="23" spans="1:23" ht="20.100000000000001" customHeight="1" x14ac:dyDescent="0.25">
      <c r="A23" s="5" t="str">
        <f>HYPERLINK("#'Input - Freight'!A1", "Freight")</f>
        <v>Freight</v>
      </c>
      <c r="D23" s="123" t="s">
        <v>295</v>
      </c>
      <c r="E23" s="123" t="s">
        <v>296</v>
      </c>
      <c r="F23" s="123" t="s">
        <v>297</v>
      </c>
      <c r="G23" s="123" t="s">
        <v>298</v>
      </c>
      <c r="H23" s="123" t="s">
        <v>299</v>
      </c>
      <c r="O23" s="123" t="s">
        <v>295</v>
      </c>
      <c r="P23" s="123" t="s">
        <v>296</v>
      </c>
      <c r="Q23" s="123" t="s">
        <v>297</v>
      </c>
      <c r="R23" s="123" t="s">
        <v>298</v>
      </c>
      <c r="S23" s="123" t="s">
        <v>299</v>
      </c>
    </row>
    <row r="24" spans="1:23" ht="20.100000000000001" customHeight="1" x14ac:dyDescent="0.25">
      <c r="A24" s="5" t="str">
        <f>HYPERLINK("#'Input - Solid waste'!A1", "Solid waste")</f>
        <v>Solid waste</v>
      </c>
      <c r="D24" s="15" cm="1">
        <f t="array" ref="D24">EntericMethane_Dairy_Equations.VEERG_3_3_1_1__6_MetabolisabilityOfDietVariation(D19)</f>
        <v>0.5948500000000001</v>
      </c>
      <c r="E24" s="15" cm="1">
        <f t="array" ref="E24">EntericMethane_Dairy_Equations.VEERG_3_3_1_1__6_MetabolisabilityOfDietVariation(E19)</f>
        <v>0.5948500000000001</v>
      </c>
      <c r="F24" s="15" cm="1">
        <f t="array" ref="F24">EntericMethane_Dairy_Equations.VEERG_3_3_1_1__6_MetabolisabilityOfDietVariation(F19)</f>
        <v>0.5948500000000001</v>
      </c>
      <c r="G24" s="15" cm="1">
        <f t="array" ref="G24">EntericMethane_Dairy_Equations.VEERG_3_3_1_1__6_MetabolisabilityOfDietVariation(G19)</f>
        <v>0.5948500000000001</v>
      </c>
      <c r="H24" s="15" cm="1">
        <f t="array" ref="H24">EntericMethane_Dairy_Equations.VEERG_3_3_1_1__6_MetabolisabilityOfDietVariation(H19)</f>
        <v>0.5948500000000001</v>
      </c>
      <c r="I24" s="16" t="str">
        <f>$E$12</f>
        <v>fraction</v>
      </c>
      <c r="J24" s="16"/>
      <c r="K24" s="16"/>
      <c r="O24" s="15" cm="1">
        <f t="array" ref="O24">EntericMethane_Dairy_Equations.VEERG_3_3_1_1__6_MetabolisabilityOfDietVariation(O19)</f>
        <v>0.5948500000000001</v>
      </c>
      <c r="P24" s="15" cm="1">
        <f t="array" ref="P24">EntericMethane_Dairy_Equations.VEERG_3_3_1_1__6_MetabolisabilityOfDietVariation(P19)</f>
        <v>0.5948500000000001</v>
      </c>
      <c r="Q24" s="15" cm="1">
        <f t="array" ref="Q24">EntericMethane_Dairy_Equations.VEERG_3_3_1_1__6_MetabolisabilityOfDietVariation(Q19)</f>
        <v>0.5948500000000001</v>
      </c>
      <c r="R24" s="15" cm="1">
        <f t="array" ref="R24">EntericMethane_Dairy_Equations.VEERG_3_3_1_1__6_MetabolisabilityOfDietVariation(R19)</f>
        <v>0.5948500000000001</v>
      </c>
      <c r="S24" s="15" cm="1">
        <f t="array" ref="S24">EntericMethane_Dairy_Equations.VEERG_3_3_1_1__6_MetabolisabilityOfDietVariation(S19)</f>
        <v>0.5948500000000001</v>
      </c>
      <c r="T24" s="16" t="str">
        <f>$E$12</f>
        <v>fraction</v>
      </c>
      <c r="U24" s="16"/>
      <c r="V24" s="16"/>
    </row>
    <row r="25" spans="1:23" ht="20.100000000000001" customHeight="1" x14ac:dyDescent="0.25">
      <c r="A25" s="5" t="str">
        <f>HYPERLINK("#'Input - Manure sent off-site'!A1", "Manure sent off-site")</f>
        <v>Manure sent off-site</v>
      </c>
    </row>
    <row r="26" spans="1:23" ht="20.100000000000001" customHeight="1" x14ac:dyDescent="0.25">
      <c r="A26" s="5" t="str">
        <f>HYPERLINK("#'Input - Data quality'!A1", "Data quality")</f>
        <v>Data quality</v>
      </c>
    </row>
    <row r="27" spans="1:23" ht="20.100000000000001" customHeight="1" x14ac:dyDescent="0.25">
      <c r="C27" s="89"/>
      <c r="D27" s="89"/>
      <c r="E27" s="89"/>
      <c r="F27" s="89"/>
      <c r="G27" s="89"/>
      <c r="H27" s="89"/>
      <c r="I27" s="89"/>
      <c r="J27" s="89"/>
      <c r="K27" s="89"/>
      <c r="L27" s="89"/>
      <c r="N27" s="89"/>
      <c r="O27" s="89"/>
      <c r="P27" s="89"/>
      <c r="Q27" s="89"/>
      <c r="R27" s="89"/>
      <c r="S27" s="89"/>
      <c r="T27" s="89"/>
      <c r="U27" s="89"/>
      <c r="V27" s="89"/>
      <c r="W27" s="89"/>
    </row>
    <row r="28" spans="1:23" ht="20.100000000000001" customHeight="1" x14ac:dyDescent="0.25">
      <c r="D28" s="2" t="str" cm="1">
        <f t="array" ref="D28">EntericMethane_Dairy_Equations.VEERG_3_3_1_1__5_MilkProductionFromMilkSolids_Title()</f>
        <v>Milk production converted from milk solids</v>
      </c>
    </row>
    <row r="29" spans="1:23" ht="20.100000000000001" customHeight="1" x14ac:dyDescent="0.25">
      <c r="A29" s="6" t="s">
        <v>2</v>
      </c>
      <c r="D29" s="17" t="str" cm="1">
        <f t="array" ref="D29">EntericMethane_Dairy_Equations.VEERG_3_3_1_1__5_MilkProductionFromMilkSolids_Source()</f>
        <v>VEERG 2026: 3.3.1.1, Equation (5)</v>
      </c>
    </row>
    <row r="30" spans="1:23" ht="20.100000000000001" customHeight="1" x14ac:dyDescent="0.25">
      <c r="A30" s="5" t="str">
        <f>HYPERLINK("#'3.3.1.1-2 Enteric Methane'!A1", "3.3.1.1-2 Enteric methane")</f>
        <v>3.3.1.1-2 Enteric methane</v>
      </c>
      <c r="D30" s="25"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A31" s="118" t="str">
        <f>HYPERLINK("#'4.3.1.1-2 Methane'!A1", "4.3.1.1-2 Manure methane")</f>
        <v>4.3.1.1-2 Manure methane</v>
      </c>
      <c r="D31" s="117" t="s">
        <v>343</v>
      </c>
      <c r="E31" s="117" t="str" cm="1">
        <f t="array" aca="1" ref="E31" ca="1">Common_InputFunctions.Utility_DisplayFunctionName(D50)</f>
        <v>=EntericMethane_Dairy_Equations.VEERG_3_3_1_1__5_MilkProductionFromMilkSolids</v>
      </c>
    </row>
    <row r="32" spans="1:23" ht="20.100000000000001" customHeight="1" x14ac:dyDescent="0.25">
      <c r="A32" s="5" t="str">
        <f>HYPERLINK("#'4.3.1.3-4 Direct N20'!A1", "4.3.1.3-4 Direct N20")</f>
        <v>4.3.1.3-4 Direct N20</v>
      </c>
    </row>
    <row r="33" spans="1:20" ht="20.100000000000001" customHeight="1" x14ac:dyDescent="0.25">
      <c r="A33" s="5" t="str">
        <f>HYPERLINK("#'4.3.1.5 Atmos deposition'!A1", "4.3.1.5 Atmos deposition")</f>
        <v>4.3.1.5 Atmos deposition</v>
      </c>
    </row>
    <row r="34" spans="1:20" ht="20.100000000000001" customHeight="1" x14ac:dyDescent="0.25">
      <c r="A34" s="5" t="str">
        <f>HYPERLINK("#'4.3.1.6-7 Leaching and runoff'!A1", "4.3.1.6-7 Leaching &amp; runoff")</f>
        <v>4.3.1.6-7 Leaching &amp; runoff</v>
      </c>
      <c r="D34" s="76" t="s">
        <v>344</v>
      </c>
      <c r="E34" s="1" t="str" cm="1">
        <f t="array" ref="E34">EntericMethane_Dairy_Equations.VEERG_3_3_1_1__5_MilkProductionFromMilkSolids_Variable()</f>
        <v>MP_j</v>
      </c>
    </row>
    <row r="35" spans="1:20" ht="20.100000000000001" customHeight="1" x14ac:dyDescent="0.25">
      <c r="A35" s="5" t="str">
        <f>HYPERLINK("#'4.3.1.8 Manure applied to soils'!A1", "4.3.1.8 Manure applied to soils")</f>
        <v>4.3.1.8 Manure applied to soils</v>
      </c>
      <c r="D35" s="76" t="s">
        <v>118</v>
      </c>
      <c r="E35" s="9" t="str" cm="1">
        <f t="array" ref="E35">EntericMethane_Dairy_Equations.VEERG_3_3_1_1__5_MilkProductionFromMilkSolids_Unit()</f>
        <v>L/head/day</v>
      </c>
    </row>
    <row r="36" spans="1:20" ht="20.100000000000001" customHeight="1" x14ac:dyDescent="0.25">
      <c r="A36" s="5" t="str">
        <f>HYPERLINK("#'4.3.1.9 Soil direct N2O'!A1", "4.3.1.9 Soil direct N2O")</f>
        <v>4.3.1.9 Soil direct N2O</v>
      </c>
    </row>
    <row r="37" spans="1:20" ht="20.100000000000001" customHeight="1" x14ac:dyDescent="0.25">
      <c r="A37" s="5" t="str">
        <f>HYPERLINK("#'4.3.1.10-11 Soil Atmos Dep'!A1", "4.3.1.10-11 Soil Atmos Deposition")</f>
        <v>4.3.1.10-11 Soil Atmos Deposition</v>
      </c>
      <c r="D37" s="119" t="str" cm="1">
        <f t="array" ref="D37:E40">_xlfn.CHOOSECOLS(EntericMethane_Dairy_Equations.VEERG_3_3_1_1__5_MilkProductionFromMilkSolids_Arguments(),1,2)</f>
        <v>MPU</v>
      </c>
      <c r="E37" s="124" t="str">
        <v>input milk production unit</v>
      </c>
      <c r="F37" s="125"/>
      <c r="G37" s="119" t="str" cm="1">
        <f t="array" ref="G37:H40">_xlfn.CHOOSECOLS(EntericMethane_Dairy_Equations.VEERG_3_3_1_1__5_MilkProductionFromMilkSolids_Arguments(),3,4)</f>
        <v/>
      </c>
      <c r="H37" s="120" t="str">
        <v>Input</v>
      </c>
      <c r="I37" s="119" t="str">
        <f>X_Cell_Dairy_MilkProductionUnit</f>
        <v>Litres of milk</v>
      </c>
      <c r="O37" s="119" t="str" cm="1">
        <f t="array" ref="O37:P40">_xlfn.CHOOSECOLS(EntericMethane_Dairy_Equations.VEERG_3_3_1_1__5_MilkProductionFromMilkSolids_Arguments_Method2(),1,2)</f>
        <v>MPU</v>
      </c>
      <c r="P37" s="124" t="str">
        <v>milk production unit</v>
      </c>
      <c r="Q37" s="125"/>
      <c r="R37" s="119" t="str" cm="1">
        <f t="array" ref="R37:S40">_xlfn.CHOOSECOLS(EntericMethane_Dairy_Equations.VEERG_3_3_1_1__5_MilkProductionFromMilkSolids_Arguments_Method2(),3,4)</f>
        <v/>
      </c>
      <c r="S37" s="120" t="str">
        <v>Input</v>
      </c>
      <c r="T37" s="119"/>
    </row>
    <row r="38" spans="1:20" ht="20.100000000000001" customHeight="1" x14ac:dyDescent="0.25">
      <c r="A38" s="5" t="str">
        <f>HYPERLINK("#'4.3.1.12-13 Soil leach runoff'!A1", "4.3.1.12-13 Soil leach &amp; runoff")</f>
        <v>4.3.1.12-13 Soil leach &amp; runoff</v>
      </c>
      <c r="D38" s="119" t="str">
        <v>MS_j</v>
      </c>
      <c r="E38" s="124" t="str">
        <v>daily production of milk solids</v>
      </c>
      <c r="F38" s="125"/>
      <c r="G38" s="119" t="str">
        <v>kg MS/head/day</v>
      </c>
      <c r="H38" s="120" t="str">
        <v>Input</v>
      </c>
      <c r="I38" s="126" t="str" cm="1">
        <f t="array" aca="1" ref="I38" ca="1">HYPERLINK(Common_InputFunctions.Utility_SourceHyperlink($D$42),$D$42)</f>
        <v>M1_Table_MS_j</v>
      </c>
      <c r="O38" s="119" t="str">
        <v>MS_j</v>
      </c>
      <c r="P38" s="124" t="str">
        <v>daily production of milk solids</v>
      </c>
      <c r="Q38" s="125"/>
      <c r="R38" s="119" t="str">
        <v>kg MS/head/day</v>
      </c>
      <c r="S38" s="120" t="str">
        <v>Input</v>
      </c>
      <c r="T38" s="126"/>
    </row>
    <row r="39" spans="1:20" ht="20.100000000000001" customHeight="1" x14ac:dyDescent="0.25">
      <c r="A39" s="5" t="str">
        <f>HYPERLINK("#'5.1.1.1-2 Inorganic fert N2O'!A1", "5.1.1.1-2 Inorganic fert N2O")</f>
        <v>5.1.1.1-2 Inorganic fert N2O</v>
      </c>
      <c r="D39" s="119" t="str">
        <v>FC_j</v>
      </c>
      <c r="E39" s="124" t="str">
        <v>fat content in fat and protein corrected milk</v>
      </c>
      <c r="F39" s="125"/>
      <c r="G39" s="119" t="str">
        <v>per cent</v>
      </c>
      <c r="H39" s="120" t="str">
        <v>Input</v>
      </c>
      <c r="I39" s="119">
        <f>INDEX(X_Table_Dairy_MilkSolidAttributes,2,2)*100</f>
        <v>4</v>
      </c>
      <c r="O39" s="119" t="str">
        <v>FC_j</v>
      </c>
      <c r="P39" s="124" t="str">
        <v>fat content in fat and protein corrected milk</v>
      </c>
      <c r="Q39" s="125"/>
      <c r="R39" s="119" t="str">
        <v>per cent</v>
      </c>
      <c r="S39" s="120" t="str">
        <v>Input</v>
      </c>
      <c r="T39" s="119">
        <f>INDEX(X_Table_Dairy_MilkSolidAttributes,2,3)*100</f>
        <v>4</v>
      </c>
    </row>
    <row r="40" spans="1:20" ht="20.100000000000001" customHeight="1" x14ac:dyDescent="0.25">
      <c r="A40" s="5" t="str">
        <f>HYPERLINK("#'5.1.1.3-4 Inorganic fert CO2'!A1", "5.1.1.3-4 Inorganic fert CO2")</f>
        <v>5.1.1.3-4 Inorganic fert CO2</v>
      </c>
      <c r="D40" s="119" t="str">
        <v>PC_j</v>
      </c>
      <c r="E40" s="119" t="str">
        <v>protein content in fat and protein corrected milk</v>
      </c>
      <c r="F40" s="119"/>
      <c r="G40" s="119" t="str">
        <v>per cent</v>
      </c>
      <c r="H40" s="120" t="str">
        <v>Input</v>
      </c>
      <c r="I40" s="119">
        <f>INDEX(X_Table_Dairy_MilkSolidAttributes,3,2)*100</f>
        <v>3.3000000000000003</v>
      </c>
      <c r="O40" s="119" t="str">
        <v>PC_j</v>
      </c>
      <c r="P40" s="119" t="str">
        <v>protein content in fat and protein corrected milk</v>
      </c>
      <c r="Q40" s="119"/>
      <c r="R40" s="119" t="str">
        <v>per cent</v>
      </c>
      <c r="S40" s="120" t="str">
        <v>Input</v>
      </c>
      <c r="T40" s="119">
        <f>INDEX(X_Table_Dairy_MilkSolidAttributes,3,3)*100</f>
        <v>3.3000000000000003</v>
      </c>
    </row>
    <row r="41" spans="1:20" ht="20.100000000000001" customHeight="1" x14ac:dyDescent="0.25">
      <c r="A41" s="5" t="str">
        <f>HYPERLINK("#'5.2.1.1-2 Organic Fert N2O'!A1", "5.2.1.1-2 Organic fert N2O")</f>
        <v>5.2.1.1-2 Organic fert N2O</v>
      </c>
    </row>
    <row r="42" spans="1:20" ht="20.100000000000001" customHeight="1" x14ac:dyDescent="0.25">
      <c r="A42" s="5" t="str">
        <f>HYPERLINK("#'5.3.1.1-2 Lime CO2'!A1", "5.3.1.1-2 Lime CO2")</f>
        <v>5.3.1.1-2 Lime CO2</v>
      </c>
      <c r="D42" s="121" t="s">
        <v>354</v>
      </c>
    </row>
    <row r="43" spans="1:20" ht="20.100000000000001" customHeight="1" x14ac:dyDescent="0.25">
      <c r="A43" s="5" t="str">
        <f>HYPERLINK("#'5.4.1.1-4 Atmos deposition'!A1", "5.4.1.1-4 Atmos. deposition")</f>
        <v>5.4.1.1-4 Atmos. deposition</v>
      </c>
      <c r="D43" s="122" t="s">
        <v>355</v>
      </c>
    </row>
    <row r="44" spans="1:20" ht="20.100000000000001" customHeight="1" x14ac:dyDescent="0.25">
      <c r="A44" s="5" t="str">
        <f>HYPERLINK("#'5.5.1.1-2 Leaching and runoff'!A1", "5.5.1.1-2 Leaching &amp; runoff")</f>
        <v>5.5.1.1-2 Leaching &amp; runoff</v>
      </c>
      <c r="D44" s="81" t="s">
        <v>295</v>
      </c>
      <c r="E44" s="81" t="s">
        <v>296</v>
      </c>
      <c r="F44" s="81" t="s">
        <v>297</v>
      </c>
      <c r="G44" s="81" t="s">
        <v>298</v>
      </c>
      <c r="H44" s="81" t="s">
        <v>299</v>
      </c>
    </row>
    <row r="45" spans="1:20" ht="20.100000000000001" customHeight="1" x14ac:dyDescent="0.25">
      <c r="A45" s="5" t="str">
        <f>HYPERLINK("#'6.2.1.1-2 Pasture residue N2O'!A1", "6.2.1.1-2 Pasture residue N2O")</f>
        <v>6.2.1.1-2 Pasture residue N2O</v>
      </c>
      <c r="D45" s="15">
        <f>IF($I$37="Milk solids", X_Cell_Dairy_MilkProductionAmount, 0)</f>
        <v>0</v>
      </c>
      <c r="E45" s="15">
        <v>0</v>
      </c>
      <c r="F45" s="15">
        <v>0</v>
      </c>
      <c r="G45" s="15">
        <v>0</v>
      </c>
      <c r="H45" s="15">
        <v>0</v>
      </c>
      <c r="I45" s="16" t="str">
        <f>G38</f>
        <v>kg MS/head/day</v>
      </c>
    </row>
    <row r="46" spans="1:20" ht="20.100000000000001" customHeight="1" x14ac:dyDescent="0.25">
      <c r="A46" s="5" t="str">
        <f>HYPERLINK("#'6.3.1.1-2 Leach runoff pasture'!A1", "6.3.1.1-2 Leach &amp; runoff (pasture)")</f>
        <v>6.3.1.1-2 Leach &amp; runoff (pasture)</v>
      </c>
    </row>
    <row r="47" spans="1:20" ht="20.100000000000001" customHeight="1" x14ac:dyDescent="0.25">
      <c r="A47" s="5" t="str">
        <f>HYPERLINK("#'8.1.1.1-2 Transport fuel'!A1", "8.1.1.1-2 Transport fuel")</f>
        <v>8.1.1.1-2 Transport fuel</v>
      </c>
      <c r="D47" s="121" t="s">
        <v>356</v>
      </c>
      <c r="O47" s="121" t="s">
        <v>357</v>
      </c>
    </row>
    <row r="48" spans="1:20" ht="20.100000000000001" customHeight="1" x14ac:dyDescent="0.25">
      <c r="A48" s="5" t="str">
        <f>HYPERLINK("#'8.2.1.1-2 Stationary fuel'!A1", "8.2.1.1-2 Stationary fuel")</f>
        <v>8.2.1.1-2 Stationary fuel</v>
      </c>
      <c r="D48" s="122" t="s">
        <v>358</v>
      </c>
      <c r="O48" s="122" t="s">
        <v>359</v>
      </c>
    </row>
    <row r="49" spans="1:23" ht="20.100000000000001" customHeight="1" x14ac:dyDescent="0.25">
      <c r="A49" s="5" t="str">
        <f>HYPERLINK("#'10.1.1-2 Solid waste treatment'!A1", "10.1.1.1-2 Solid waste")</f>
        <v>10.1.1.1-2 Solid waste</v>
      </c>
      <c r="D49" s="123" t="s">
        <v>295</v>
      </c>
      <c r="E49" s="123" t="s">
        <v>296</v>
      </c>
      <c r="F49" s="123" t="s">
        <v>297</v>
      </c>
      <c r="G49" s="123" t="s">
        <v>298</v>
      </c>
      <c r="H49" s="123" t="s">
        <v>299</v>
      </c>
      <c r="O49" s="123" t="s">
        <v>295</v>
      </c>
      <c r="P49" s="123" t="s">
        <v>296</v>
      </c>
      <c r="Q49" s="123" t="s">
        <v>297</v>
      </c>
      <c r="R49" s="123" t="s">
        <v>298</v>
      </c>
      <c r="S49" s="123" t="s">
        <v>299</v>
      </c>
    </row>
    <row r="50" spans="1:23" ht="20.100000000000001" customHeight="1" x14ac:dyDescent="0.25">
      <c r="A50" s="5" t="str">
        <f>HYPERLINK("#'14.1.1-2 Purchased electricity'!A1", "14.1.1-2 Purchased electricity")</f>
        <v>14.1.1-2 Purchased electricity</v>
      </c>
      <c r="D50" s="15" cm="1">
        <f t="array" ref="D50">EntericMethane_Dairy_Equations.VEERG_3_3_1_1__5_MilkProductionFromMilkSolids(D45,$I$39,$I$40)</f>
        <v>0</v>
      </c>
      <c r="E50" s="15">
        <v>0</v>
      </c>
      <c r="F50" s="15">
        <v>0</v>
      </c>
      <c r="G50" s="15">
        <v>0</v>
      </c>
      <c r="H50" s="15">
        <v>0</v>
      </c>
      <c r="I50" s="16" t="s">
        <v>360</v>
      </c>
      <c r="O50" s="15" cm="1">
        <f t="array" ref="O50">EntericMethane_Dairy_Equations.VEERG_3_3_1_1__5_MilkProductionFromMilkSolids(D45,$T$39,$T$40)</f>
        <v>0</v>
      </c>
      <c r="P50" s="15">
        <v>0</v>
      </c>
      <c r="Q50" s="15">
        <v>0</v>
      </c>
      <c r="R50" s="15">
        <v>0</v>
      </c>
      <c r="S50" s="15">
        <v>0</v>
      </c>
      <c r="T50" s="16" t="s">
        <v>360</v>
      </c>
    </row>
    <row r="51" spans="1:23" ht="20.100000000000001" customHeight="1" x14ac:dyDescent="0.25">
      <c r="A51" s="5" t="str">
        <f>HYPERLINK("#'15 Scope 3'!A1", "15 Scope 3")</f>
        <v>15 Scope 3</v>
      </c>
    </row>
    <row r="52" spans="1:23" ht="20.100000000000001" customHeight="1" x14ac:dyDescent="0.25">
      <c r="A52" s="5" t="str">
        <f>HYPERLINK("#'Calcs - Manure sent off-site'!A1", "Calcs - Manure sent off-site")</f>
        <v>Calcs - Manure sent off-site</v>
      </c>
    </row>
    <row r="53" spans="1:23" ht="20.100000000000001" customHeight="1" x14ac:dyDescent="0.25">
      <c r="C53" s="89"/>
      <c r="D53" s="89"/>
      <c r="E53" s="89"/>
      <c r="F53" s="89"/>
      <c r="G53" s="89"/>
      <c r="H53" s="89"/>
      <c r="I53" s="89"/>
      <c r="J53" s="89"/>
      <c r="K53" s="89"/>
      <c r="L53" s="89"/>
      <c r="N53" s="89"/>
      <c r="O53" s="89"/>
      <c r="P53" s="89"/>
      <c r="Q53" s="89"/>
      <c r="R53" s="89"/>
      <c r="S53" s="89"/>
      <c r="T53" s="89"/>
      <c r="U53" s="89"/>
      <c r="V53" s="89"/>
      <c r="W53" s="89"/>
    </row>
    <row r="54" spans="1:23" ht="20.100000000000001" customHeight="1" x14ac:dyDescent="0.25">
      <c r="D54" s="2" t="str" cm="1">
        <f t="array" ref="D54">EntericMethane_Dairy_Equations.VEERG_3_3_1_1__4_AdditionalIntakeForMilkProduction_Title()</f>
        <v>Additional intake required for milk production</v>
      </c>
    </row>
    <row r="55" spans="1:23" ht="20.100000000000001" customHeight="1" x14ac:dyDescent="0.25">
      <c r="A55" s="83" t="s">
        <v>1</v>
      </c>
      <c r="D55" s="17" t="str" cm="1">
        <f t="array" ref="D55">EntericMethane_Dairy_Equations.VEERG_3_3_1_1__4_AdditionalIntakeForMilkProduction_Source()</f>
        <v>VEERG 2026: 3.3.1.1, Equation (4)</v>
      </c>
    </row>
    <row r="56" spans="1:23" ht="20.100000000000001" customHeight="1" x14ac:dyDescent="0.25">
      <c r="A56" s="5" t="str">
        <f>HYPERLINK("#'Constants - Dairy'!A1", "Constants - Dairy")</f>
        <v>Constants - Dairy</v>
      </c>
      <c r="D56" s="117" t="s">
        <v>343</v>
      </c>
      <c r="E56" s="117" t="str" cm="1">
        <f t="array" aca="1" ref="E56" ca="1">Common_InputFunctions.Utility_DisplayFunctionName(D79)</f>
        <v>=EntericMethane_Dairy_Equations.VEERG_3_3_1_1__4_AdditionalIntakeForMilkProduction</v>
      </c>
    </row>
    <row r="57" spans="1:23" ht="20.100000000000001" customHeight="1" x14ac:dyDescent="0.25">
      <c r="A57" s="5" t="str">
        <f>HYPERLINK("#'Constants - Ag Residue'!A1", "Constants - Ag residue")</f>
        <v>Constants - Ag residue</v>
      </c>
    </row>
    <row r="58" spans="1:23" ht="20.100000000000001" customHeight="1" x14ac:dyDescent="0.25">
      <c r="A58" s="5" t="str">
        <f>HYPERLINK("#'Constants - Common Livestock'!A1", "Constants - Common Livestock")</f>
        <v>Constants - Common Livestock</v>
      </c>
      <c r="D58" s="2"/>
    </row>
    <row r="59" spans="1:23" ht="20.100000000000001" customHeight="1" x14ac:dyDescent="0.25">
      <c r="A59" s="5" t="str">
        <f>HYPERLINK("#'Constants - Electricity'!A1", "Constants - Electricity")</f>
        <v>Constants - Electricity</v>
      </c>
      <c r="D59" s="76" t="s">
        <v>344</v>
      </c>
      <c r="E59" s="1" t="str" cm="1">
        <f t="array" ref="E59">EntericMethane_Dairy_Equations.VEERG_3_3_1_1__4_AdditionalIntakeForMilkProduction_Variable()</f>
        <v>MI_j</v>
      </c>
    </row>
    <row r="60" spans="1:23" ht="20.100000000000001" customHeight="1" x14ac:dyDescent="0.25">
      <c r="A60" s="5" t="str">
        <f>HYPERLINK("#'Constants - Fertiliser'!A1", "Constants - Fertiliser")</f>
        <v>Constants - Fertiliser</v>
      </c>
      <c r="D60" s="76" t="s">
        <v>118</v>
      </c>
      <c r="E60" s="9" t="str" cm="1">
        <f t="array" ref="E60">EntericMethane_Dairy_Equations.VEERG_3_3_1_1__4_AdditionalIntakeForMilkProduction_Unit()</f>
        <v>kg DM/head/day</v>
      </c>
    </row>
    <row r="61" spans="1:23" ht="20.100000000000001" customHeight="1" x14ac:dyDescent="0.25">
      <c r="A61" s="5" t="str">
        <f>HYPERLINK("#'Constants - Fuel'!A1", "Constants - Fuel")</f>
        <v>Constants - Fuel</v>
      </c>
    </row>
    <row r="62" spans="1:23" ht="20.100000000000001" customHeight="1" x14ac:dyDescent="0.25">
      <c r="A62" s="5" t="str">
        <f>HYPERLINK("#'Constants - Scope 3'!A1", "Constants - Scope 3")</f>
        <v>Constants - Scope 3</v>
      </c>
      <c r="D62" s="119" t="str" cm="1">
        <f t="array" ref="D62:E68">_xlfn.CHOOSECOLS(EntericMethane_Dairy_Equations.VEERG_3_3_1_1__4_AdditionalIntakeForMilkProduction_Arguments(), 1,2)</f>
        <v>MPU</v>
      </c>
      <c r="E62" s="124" t="str">
        <v>input milk production unit</v>
      </c>
      <c r="F62" s="125"/>
      <c r="G62" s="119" t="str" cm="1">
        <f t="array" ref="G62:H68">_xlfn.CHOOSECOLS(EntericMethane_Dairy_Equations.VEERG_3_3_1_1__4_AdditionalIntakeForMilkProduction_Arguments(), 3,4)</f>
        <v/>
      </c>
      <c r="H62" s="120" t="str">
        <v>Input</v>
      </c>
      <c r="I62" s="119" t="str">
        <f>X_Cell_Dairy_MilkProductionUnit</f>
        <v>Litres of milk</v>
      </c>
    </row>
    <row r="63" spans="1:23" ht="20.100000000000001" customHeight="1" x14ac:dyDescent="0.25">
      <c r="A63" s="5" t="str">
        <f>HYPERLINK("#'Constants - Common'!A1", "Constants - Common")</f>
        <v>Constants - Common</v>
      </c>
      <c r="D63" s="119" t="str">
        <v>MP_j</v>
      </c>
      <c r="E63" s="124" t="str">
        <v>milk production (if input as litres of milk)</v>
      </c>
      <c r="F63" s="125"/>
      <c r="G63" s="119" t="str">
        <v>L/head/day</v>
      </c>
      <c r="H63" s="127" t="str">
        <v>Input</v>
      </c>
      <c r="I63" s="126" t="str" cm="1">
        <f t="array" aca="1" ref="I63" ca="1">HYPERLINK(Common_InputFunctions.Utility_SourceHyperlink($D$71), $D$71)</f>
        <v>Table_MP_j</v>
      </c>
    </row>
    <row r="64" spans="1:23" ht="20.100000000000001" customHeight="1" x14ac:dyDescent="0.25">
      <c r="A64" s="5" t="str">
        <f>HYPERLINK("#'Constants - Solid Waste'!A1", "Constants - Solid Waste")</f>
        <v>Constants - Solid Waste</v>
      </c>
      <c r="D64" s="119" t="str">
        <v>MP_j</v>
      </c>
      <c r="E64" s="124" t="str">
        <v>milk production (if input as milk solids)</v>
      </c>
      <c r="F64" s="125"/>
      <c r="G64" s="119" t="str">
        <v>L/head/day</v>
      </c>
      <c r="H64" s="127" t="str">
        <v>Calculated from 3.3.1.1 (5)</v>
      </c>
      <c r="I64" s="126" t="str" cm="1">
        <f t="array" aca="1" ref="I64" ca="1">HYPERLINK(Common_InputFunctions.Utility_SourceHyperlink($D$47),$D$47)</f>
        <v>M1_Table_MP_j_from_solids</v>
      </c>
    </row>
    <row r="65" spans="1:22" ht="20.100000000000001" customHeight="1" x14ac:dyDescent="0.25">
      <c r="A65" s="5" t="str">
        <f>HYPERLINK("#'Acknowledgements'!A1", "Acknowledgements")</f>
        <v>Acknowledgements</v>
      </c>
      <c r="D65" s="119" t="str">
        <v>NE</v>
      </c>
      <c r="E65" s="124" t="str">
        <v>net energy</v>
      </c>
      <c r="F65" s="125"/>
      <c r="G65" s="119" t="str">
        <v>MJ net energy/kg milk</v>
      </c>
      <c r="H65" s="127" t="str">
        <v>Constant</v>
      </c>
      <c r="I65" s="119">
        <f>SourceData_Dairy_NetEnergy_Data</f>
        <v>3.0539999999999998</v>
      </c>
    </row>
    <row r="66" spans="1:22" ht="20.100000000000001" customHeight="1" x14ac:dyDescent="0.25">
      <c r="D66" s="119" t="str">
        <v>GEC</v>
      </c>
      <c r="E66" s="124" t="str">
        <v>gross energy content</v>
      </c>
      <c r="F66" s="125"/>
      <c r="G66" s="119" t="str">
        <v>MJ/kgDM</v>
      </c>
      <c r="H66" s="127" t="str">
        <v>Constant</v>
      </c>
      <c r="I66" s="119">
        <f>SourceData_Dairy_GrossEnergyContent_Data</f>
        <v>18.399999999999999</v>
      </c>
    </row>
    <row r="67" spans="1:22" ht="20.100000000000001" customHeight="1" x14ac:dyDescent="0.25">
      <c r="D67" s="119" t="str">
        <v>k</v>
      </c>
      <c r="E67" s="119" t="str">
        <v>efficiency of metabolizable energy use for milk production</v>
      </c>
      <c r="F67" s="119"/>
      <c r="G67" s="119" t="str">
        <v>fraction</v>
      </c>
      <c r="H67" s="127" t="str">
        <v>Constant</v>
      </c>
      <c r="I67" s="119">
        <f>SourceData_Dairy_EfficiencyOfUseOfMetabolizableEnergy_Data</f>
        <v>0.6</v>
      </c>
    </row>
    <row r="68" spans="1:22" ht="20.100000000000001" customHeight="1" x14ac:dyDescent="0.25">
      <c r="D68" s="119" t="str">
        <v>qm_j</v>
      </c>
      <c r="E68" s="124" t="str">
        <v>metabolisability of the diet</v>
      </c>
      <c r="F68" s="125"/>
      <c r="G68" s="119" t="str">
        <v>fraction</v>
      </c>
      <c r="H68" s="127" t="str">
        <v>Calculated from 3.3.1.1 (6)</v>
      </c>
      <c r="I68" s="126" t="str" cm="1">
        <f t="array" aca="1" ref="I68" ca="1">HYPERLINK(Common_InputFunctions.Utility_SourceHyperlink($D$21), $D$21)</f>
        <v>M1_Table_qm_j</v>
      </c>
    </row>
    <row r="69" spans="1:22" ht="20.100000000000001" customHeight="1" x14ac:dyDescent="0.25"/>
    <row r="70" spans="1:22" ht="20.100000000000001" customHeight="1" x14ac:dyDescent="0.25"/>
    <row r="71" spans="1:22" ht="20.100000000000001" customHeight="1" x14ac:dyDescent="0.25">
      <c r="D71" s="121" t="s">
        <v>361</v>
      </c>
    </row>
    <row r="72" spans="1:22" ht="20.100000000000001" customHeight="1" x14ac:dyDescent="0.25">
      <c r="D72" s="122" t="s">
        <v>313</v>
      </c>
    </row>
    <row r="73" spans="1:22" ht="20.100000000000001" customHeight="1" x14ac:dyDescent="0.25">
      <c r="D73" s="81" t="s">
        <v>295</v>
      </c>
      <c r="E73" s="81" t="s">
        <v>296</v>
      </c>
      <c r="F73" s="81" t="s">
        <v>297</v>
      </c>
      <c r="G73" s="81" t="s">
        <v>298</v>
      </c>
      <c r="H73" s="81" t="s">
        <v>299</v>
      </c>
    </row>
    <row r="74" spans="1:22" ht="20.100000000000001" customHeight="1" x14ac:dyDescent="0.25">
      <c r="D74" s="15">
        <f>IF(I62="Milk solids", 0, X_Cell_Dairy_MilkProductionAmount)</f>
        <v>20</v>
      </c>
      <c r="E74" s="15">
        <v>0</v>
      </c>
      <c r="F74" s="15">
        <v>0</v>
      </c>
      <c r="G74" s="15">
        <v>0</v>
      </c>
      <c r="H74" s="15">
        <v>0</v>
      </c>
      <c r="I74" s="16" t="s">
        <v>360</v>
      </c>
      <c r="J74" s="16"/>
      <c r="K74" s="16"/>
    </row>
    <row r="75" spans="1:22" ht="20.100000000000001" customHeight="1" x14ac:dyDescent="0.25"/>
    <row r="76" spans="1:22" ht="20.100000000000001" customHeight="1" x14ac:dyDescent="0.25">
      <c r="D76" s="121" t="s">
        <v>362</v>
      </c>
      <c r="O76" s="121" t="s">
        <v>363</v>
      </c>
    </row>
    <row r="77" spans="1:22" ht="20.100000000000001" customHeight="1" x14ac:dyDescent="0.25">
      <c r="D77" s="122" t="s">
        <v>364</v>
      </c>
      <c r="O77" s="122" t="s">
        <v>365</v>
      </c>
    </row>
    <row r="78" spans="1:22" ht="20.100000000000001" customHeight="1" x14ac:dyDescent="0.25">
      <c r="D78" s="123" t="s">
        <v>295</v>
      </c>
      <c r="E78" s="123" t="s">
        <v>296</v>
      </c>
      <c r="F78" s="123" t="s">
        <v>297</v>
      </c>
      <c r="G78" s="123" t="s">
        <v>298</v>
      </c>
      <c r="H78" s="123" t="s">
        <v>299</v>
      </c>
      <c r="O78" s="123" t="s">
        <v>295</v>
      </c>
      <c r="P78" s="123" t="s">
        <v>296</v>
      </c>
      <c r="Q78" s="123" t="s">
        <v>297</v>
      </c>
      <c r="R78" s="123" t="s">
        <v>298</v>
      </c>
      <c r="S78" s="123" t="s">
        <v>299</v>
      </c>
    </row>
    <row r="79" spans="1:22" ht="20.100000000000001" customHeight="1" x14ac:dyDescent="0.25">
      <c r="D79" s="15" cm="1">
        <f t="array" ref="D79">EntericMethane_Dairy_Equations.VEERG_3_3_1_1__4_AdditionalIntakeForMilkProduction(IF(I62="Milk solids", D50, D74), $I$65,$I$66,$I$67,D24)</f>
        <v>9.5798721636071917</v>
      </c>
      <c r="E79" s="15" cm="1">
        <f t="array" ref="E79">EntericMethane_Dairy_Equations.VEERG_3_3_1_1__4_AdditionalIntakeForMilkProduction(E74, $I$65,$I$66,$I$67,E24)</f>
        <v>0</v>
      </c>
      <c r="F79" s="15" cm="1">
        <f t="array" ref="F79">EntericMethane_Dairy_Equations.VEERG_3_3_1_1__4_AdditionalIntakeForMilkProduction(F74, $I$65,$I$66,$I$67,F24)</f>
        <v>0</v>
      </c>
      <c r="G79" s="15" cm="1">
        <f t="array" ref="G79">EntericMethane_Dairy_Equations.VEERG_3_3_1_1__4_AdditionalIntakeForMilkProduction(G74, $I$65,$I$66,$I$67,G24)</f>
        <v>0</v>
      </c>
      <c r="H79" s="15" cm="1">
        <f t="array" ref="H79">EntericMethane_Dairy_Equations.VEERG_3_3_1_1__4_AdditionalIntakeForMilkProduction(H74, $I$65,$I$66,$I$67,H24)</f>
        <v>0</v>
      </c>
      <c r="I79" s="16" t="str">
        <f>$E$60</f>
        <v>kg DM/head/day</v>
      </c>
      <c r="J79" s="16"/>
      <c r="K79" s="16"/>
      <c r="O79" s="15" cm="1">
        <f t="array" ref="O79">EntericMethane_Dairy_Equations.VEERG_3_3_1_1__4_AdditionalIntakeForMilkProduction(IF(I62="Milk solids", O50, D74), $I$65,$I$66,$I$67,O24)</f>
        <v>9.5798721636071917</v>
      </c>
      <c r="P79" s="15" cm="1">
        <f t="array" ref="P79">EntericMethane_Dairy_Equations.VEERG_3_3_1_1__4_AdditionalIntakeForMilkProduction(E74, $I$65,$I$66,$I$67,P24)</f>
        <v>0</v>
      </c>
      <c r="Q79" s="15" cm="1">
        <f t="array" ref="Q79">EntericMethane_Dairy_Equations.VEERG_3_3_1_1__4_AdditionalIntakeForMilkProduction(F74, $I$65,$I$66,$I$67,Q24)</f>
        <v>0</v>
      </c>
      <c r="R79" s="15" cm="1">
        <f t="array" ref="R79">EntericMethane_Dairy_Equations.VEERG_3_3_1_1__4_AdditionalIntakeForMilkProduction(G74, $I$65,$I$66,$I$67,R24)</f>
        <v>0</v>
      </c>
      <c r="S79" s="15" cm="1">
        <f t="array" ref="S79">EntericMethane_Dairy_Equations.VEERG_3_3_1_1__4_AdditionalIntakeForMilkProduction(H74, $I$65,$I$66,$I$67,S24)</f>
        <v>0</v>
      </c>
      <c r="T79" s="16" t="str">
        <f>$E$60</f>
        <v>kg DM/head/day</v>
      </c>
      <c r="U79" s="16"/>
      <c r="V79" s="16"/>
    </row>
    <row r="80" spans="1:22" ht="20.100000000000001" customHeight="1" x14ac:dyDescent="0.25"/>
    <row r="81" spans="3:23" ht="20.100000000000001" customHeight="1" x14ac:dyDescent="0.25"/>
    <row r="82" spans="3:23" ht="20.100000000000001" customHeight="1" x14ac:dyDescent="0.25">
      <c r="C82" s="89"/>
      <c r="D82" s="89"/>
      <c r="E82" s="89"/>
      <c r="F82" s="89"/>
      <c r="G82" s="89"/>
      <c r="H82" s="89"/>
      <c r="I82" s="89"/>
      <c r="J82" s="89"/>
      <c r="K82" s="89"/>
      <c r="L82" s="89"/>
      <c r="N82" s="89"/>
      <c r="O82" s="89"/>
      <c r="P82" s="89"/>
      <c r="Q82" s="89"/>
      <c r="R82" s="89"/>
      <c r="S82" s="89"/>
      <c r="T82" s="89"/>
      <c r="U82" s="89"/>
      <c r="V82" s="89"/>
      <c r="W82" s="89"/>
    </row>
    <row r="83" spans="3:23" ht="20.100000000000001" customHeight="1" x14ac:dyDescent="0.25">
      <c r="D83" s="2" t="str" cm="1">
        <f t="array" ref="D83">EntericMethane_Dairy_Equations.VEERG_3_3_1_1__3_DryMatterFeedIntake_Title()</f>
        <v>Feed intake</v>
      </c>
    </row>
    <row r="84" spans="3:23" ht="20.100000000000001" customHeight="1" x14ac:dyDescent="0.25">
      <c r="D84" s="17" t="str" cm="1">
        <f t="array" ref="D84">EntericMethane_Dairy_Equations.VEERG_3_3_1_1__3_DryMatterFeedIntake_Source()</f>
        <v>VEERG 2026: 3.3.1.1, Equation (3)</v>
      </c>
    </row>
    <row r="85" spans="3:23" ht="20.100000000000001" customHeight="1" x14ac:dyDescent="0.25">
      <c r="D85" s="117" t="s">
        <v>343</v>
      </c>
      <c r="E85" s="117"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76" t="s">
        <v>344</v>
      </c>
      <c r="E88" s="1" t="str" cm="1">
        <f t="array" ref="E88">EntericMethane_Dairy_Equations.VEERG_3_3_1_1__3_DryMatterFeedIntake_Variable()</f>
        <v>I_j</v>
      </c>
    </row>
    <row r="89" spans="3:23" ht="20.100000000000001" customHeight="1" x14ac:dyDescent="0.25">
      <c r="D89" s="76" t="s">
        <v>118</v>
      </c>
      <c r="E89" s="9" t="str" cm="1">
        <f t="array" ref="E89">EntericMethane_Dairy_Equations.VEERG_3_3_1_1__3_DryMatterFeedIntake_Unit()</f>
        <v>kg DM/head/day</v>
      </c>
    </row>
    <row r="90" spans="3:23" ht="20.100000000000001" customHeight="1" x14ac:dyDescent="0.25"/>
    <row r="91" spans="3:23" ht="20.100000000000001" customHeight="1" x14ac:dyDescent="0.25">
      <c r="D91" s="119" t="str" cm="1">
        <f t="array" ref="D91:E94">_xlfn.CHOOSECOLS(EntericMethane_Dairy_Equations.VEERG_3_3_1_1__3_DryMatterFeedIntake_Arguments(),1,2)</f>
        <v>W_j</v>
      </c>
      <c r="E91" s="124" t="str">
        <v>liveweight</v>
      </c>
      <c r="F91" s="125"/>
      <c r="G91" s="119" t="str" cm="1">
        <f t="array" ref="G91:H94">_xlfn.CHOOSECOLS(EntericMethane_Dairy_Equations.VEERG_3_3_1_1__3_DryMatterFeedIntake_Arguments(),3,4)</f>
        <v>kg</v>
      </c>
      <c r="H91" s="120" t="str">
        <v>Input</v>
      </c>
      <c r="I91" s="126" t="str" cm="1">
        <f t="array" aca="1" ref="I91" ca="1">HYPERLINK(Common_InputFunctions.Utility_SourceHyperlink($D$96), $D$96)</f>
        <v>M1_Table_W_j</v>
      </c>
    </row>
    <row r="92" spans="3:23" ht="20.100000000000001" customHeight="1" x14ac:dyDescent="0.25">
      <c r="D92" s="119" t="str">
        <v>LWG_j</v>
      </c>
      <c r="E92" s="124" t="str">
        <v>liveweight gain</v>
      </c>
      <c r="F92" s="125"/>
      <c r="G92" s="119" t="str">
        <v>kg/head/day</v>
      </c>
      <c r="H92" s="120" t="str">
        <v>Input</v>
      </c>
      <c r="I92" s="126" t="str" cm="1">
        <f t="array" aca="1" ref="I92" ca="1">HYPERLINK(Common_InputFunctions.Utility_SourceHyperlink($D$101), $D$101)</f>
        <v>M1_Table_LWG_j</v>
      </c>
    </row>
    <row r="93" spans="3:23" ht="20.100000000000001" customHeight="1" x14ac:dyDescent="0.25">
      <c r="D93" s="119" t="str">
        <v>MR_j</v>
      </c>
      <c r="E93" s="124" t="str">
        <v>increase in metabolic rate when producing milk</v>
      </c>
      <c r="F93" s="125"/>
      <c r="G93" s="119" t="str">
        <v>fraction</v>
      </c>
      <c r="H93" s="127" t="str">
        <v>Constant</v>
      </c>
      <c r="I93" s="126" t="str" cm="1">
        <f t="array" aca="1" ref="I93" ca="1">HYPERLINK(Common_InputFunctions.Utility_SourceHyperlink($D$106), $D$106)</f>
        <v>Table_MR_j</v>
      </c>
    </row>
    <row r="94" spans="3:23" ht="20.100000000000001" customHeight="1" x14ac:dyDescent="0.25">
      <c r="D94" s="119" t="str">
        <v>MI_j</v>
      </c>
      <c r="E94" s="124" t="str">
        <v>additional intake required for milk production</v>
      </c>
      <c r="F94" s="125"/>
      <c r="G94" s="119" t="str">
        <v>kg DM/head/day</v>
      </c>
      <c r="H94" s="127" t="str">
        <v>Calculated from 3.3.1.1 (4)</v>
      </c>
      <c r="I94" s="126" t="str" cm="1">
        <f t="array" aca="1" ref="I94" ca="1">HYPERLINK(Common_InputFunctions.Utility_SourceHyperlink($D$76), $D$76)</f>
        <v>M1_Table_MI_j</v>
      </c>
    </row>
    <row r="95" spans="3:23" ht="20.100000000000001" customHeight="1" x14ac:dyDescent="0.25"/>
    <row r="96" spans="3:23" ht="20.100000000000001" customHeight="1" x14ac:dyDescent="0.25">
      <c r="D96" s="121" t="s">
        <v>366</v>
      </c>
      <c r="O96" s="121" t="s">
        <v>367</v>
      </c>
    </row>
    <row r="97" spans="4:22" ht="20.100000000000001" customHeight="1" x14ac:dyDescent="0.25">
      <c r="D97" s="122" t="s">
        <v>368</v>
      </c>
      <c r="O97" s="122" t="s">
        <v>369</v>
      </c>
    </row>
    <row r="98" spans="4:22" ht="20.100000000000001" customHeight="1" x14ac:dyDescent="0.25">
      <c r="D98" s="81" t="s">
        <v>295</v>
      </c>
      <c r="E98" s="81" t="s">
        <v>296</v>
      </c>
      <c r="F98" s="81" t="s">
        <v>297</v>
      </c>
      <c r="G98" s="81" t="s">
        <v>298</v>
      </c>
      <c r="H98" s="81" t="s">
        <v>299</v>
      </c>
      <c r="O98" s="81" t="s">
        <v>295</v>
      </c>
      <c r="P98" s="81" t="s">
        <v>296</v>
      </c>
      <c r="Q98" s="81" t="s">
        <v>297</v>
      </c>
      <c r="R98" s="81" t="s">
        <v>298</v>
      </c>
      <c r="S98" s="81" t="s">
        <v>299</v>
      </c>
    </row>
    <row r="99" spans="4:22" ht="20.100000000000001" customHeight="1" x14ac:dyDescent="0.25">
      <c r="D99" s="15">
        <f>INDEX(X_Table_Dairy_Liveweight_Method1,2,2)</f>
        <v>550</v>
      </c>
      <c r="E99" s="15">
        <f>INDEX(X_Table_Dairy_Liveweight_Method1,2,3)</f>
        <v>380</v>
      </c>
      <c r="F99" s="15">
        <f>INDEX(X_Table_Dairy_Liveweight_Method1,2,4)</f>
        <v>155</v>
      </c>
      <c r="G99" s="15">
        <f>INDEX(X_Table_Dairy_Liveweight_Method1,2,5)</f>
        <v>600</v>
      </c>
      <c r="H99" s="15">
        <f>INDEX(X_Table_Dairy_Liveweight_Method1,2,6)</f>
        <v>225</v>
      </c>
      <c r="I99" s="16" t="s">
        <v>304</v>
      </c>
      <c r="J99" s="16"/>
      <c r="K99" s="16"/>
      <c r="O99" s="15">
        <f>INDEX(X_Table_Dairy_Liveweight_Method2,2,2)</f>
        <v>550</v>
      </c>
      <c r="P99" s="15">
        <f>INDEX(X_Table_Dairy_Liveweight_Method2,2,3)</f>
        <v>380</v>
      </c>
      <c r="Q99" s="15">
        <f>INDEX(X_Table_Dairy_Liveweight_Method2,2,4)</f>
        <v>155</v>
      </c>
      <c r="R99" s="15">
        <f>INDEX(X_Table_Dairy_Liveweight_Method2,2,5)</f>
        <v>600</v>
      </c>
      <c r="S99" s="15">
        <f>INDEX(X_Table_Dairy_Liveweight_Method2,2,6)</f>
        <v>225</v>
      </c>
      <c r="T99" s="16" t="s">
        <v>304</v>
      </c>
      <c r="U99" s="16"/>
      <c r="V99" s="16"/>
    </row>
    <row r="100" spans="4:22" ht="20.100000000000001" customHeight="1" x14ac:dyDescent="0.25"/>
    <row r="101" spans="4:22" ht="20.100000000000001" customHeight="1" x14ac:dyDescent="0.25">
      <c r="D101" s="121" t="s">
        <v>370</v>
      </c>
      <c r="O101" s="121" t="s">
        <v>371</v>
      </c>
    </row>
    <row r="102" spans="4:22" ht="20.100000000000001" customHeight="1" x14ac:dyDescent="0.25">
      <c r="D102" s="122" t="s">
        <v>372</v>
      </c>
      <c r="O102" s="122" t="s">
        <v>373</v>
      </c>
    </row>
    <row r="103" spans="4:22" ht="20.100000000000001" customHeight="1" x14ac:dyDescent="0.25">
      <c r="D103" s="81" t="s">
        <v>295</v>
      </c>
      <c r="E103" s="81" t="s">
        <v>296</v>
      </c>
      <c r="F103" s="81" t="s">
        <v>297</v>
      </c>
      <c r="G103" s="81" t="s">
        <v>298</v>
      </c>
      <c r="H103" s="81" t="s">
        <v>299</v>
      </c>
      <c r="O103" s="81" t="s">
        <v>295</v>
      </c>
      <c r="P103" s="81" t="s">
        <v>296</v>
      </c>
      <c r="Q103" s="81" t="s">
        <v>297</v>
      </c>
      <c r="R103" s="81" t="s">
        <v>298</v>
      </c>
      <c r="S103" s="81" t="s">
        <v>299</v>
      </c>
    </row>
    <row r="104" spans="4:22" ht="20.100000000000001" customHeight="1" x14ac:dyDescent="0.25">
      <c r="D104" s="15">
        <f>INDEX(X_Table_Dairy_Liveweight_Method1,3,2)</f>
        <v>1.6E-2</v>
      </c>
      <c r="E104" s="15">
        <f>INDEX(X_Table_Dairy_Liveweight_Method1,3,3)</f>
        <v>0.6</v>
      </c>
      <c r="F104" s="15">
        <f>INDEX(X_Table_Dairy_Liveweight_Method1,3,4)</f>
        <v>0.56999999999999995</v>
      </c>
      <c r="G104" s="15">
        <f>INDEX(X_Table_Dairy_Liveweight_Method1,3,5)</f>
        <v>0.1</v>
      </c>
      <c r="H104" s="15">
        <f>INDEX(X_Table_Dairy_Liveweight_Method1,3,6)</f>
        <v>0.8</v>
      </c>
      <c r="I104" s="16" t="s">
        <v>306</v>
      </c>
      <c r="J104" s="16"/>
      <c r="K104" s="16"/>
      <c r="O104" s="15">
        <f>INDEX(X_Table_Dairy_Liveweight_Method2,3,2)</f>
        <v>1.6E-2</v>
      </c>
      <c r="P104" s="15">
        <f>INDEX(X_Table_Dairy_Liveweight_Method2,3,3)</f>
        <v>0.6</v>
      </c>
      <c r="Q104" s="15">
        <f>INDEX(X_Table_Dairy_Liveweight_Method2,3,4)</f>
        <v>0.56999999999999995</v>
      </c>
      <c r="R104" s="15">
        <f>INDEX(X_Table_Dairy_Liveweight_Method2,3,5)</f>
        <v>0.1</v>
      </c>
      <c r="S104" s="15">
        <f>INDEX(X_Table_Dairy_Liveweight_Method2,3,6)</f>
        <v>0.8</v>
      </c>
      <c r="T104" s="16" t="s">
        <v>306</v>
      </c>
      <c r="U104" s="16"/>
      <c r="V104" s="16"/>
    </row>
    <row r="105" spans="4:22" ht="20.100000000000001" customHeight="1" x14ac:dyDescent="0.25"/>
    <row r="106" spans="4:22" ht="20.100000000000001" customHeight="1" x14ac:dyDescent="0.25">
      <c r="D106" s="121" t="s">
        <v>374</v>
      </c>
    </row>
    <row r="107" spans="4:22" ht="20.100000000000001" customHeight="1" x14ac:dyDescent="0.25">
      <c r="D107" s="122" t="s">
        <v>375</v>
      </c>
    </row>
    <row r="108" spans="4:22" ht="20.100000000000001" customHeight="1" x14ac:dyDescent="0.25">
      <c r="D108" s="123" t="s">
        <v>295</v>
      </c>
      <c r="E108" s="123" t="s">
        <v>296</v>
      </c>
      <c r="F108" s="123" t="s">
        <v>297</v>
      </c>
      <c r="G108" s="123" t="s">
        <v>298</v>
      </c>
      <c r="H108" s="123" t="s">
        <v>299</v>
      </c>
    </row>
    <row r="109" spans="4:22" ht="20.100000000000001" customHeight="1" x14ac:dyDescent="0.25">
      <c r="D109" s="15">
        <f>'Constants - Dairy'!$E$108</f>
        <v>1.1000000000000001</v>
      </c>
      <c r="E109" s="15">
        <f>'Constants - Dairy'!$E$109</f>
        <v>1</v>
      </c>
      <c r="F109" s="15">
        <f>'Constants - Dairy'!$E$109</f>
        <v>1</v>
      </c>
      <c r="G109" s="15">
        <f>'Constants - Dairy'!$E$109</f>
        <v>1</v>
      </c>
      <c r="H109" s="15">
        <f>'Constants - Dairy'!$E$109</f>
        <v>1</v>
      </c>
      <c r="I109" s="16" t="s">
        <v>311</v>
      </c>
      <c r="J109" s="16"/>
      <c r="K109" s="16"/>
    </row>
    <row r="110" spans="4:22" ht="20.100000000000001" customHeight="1" x14ac:dyDescent="0.25"/>
    <row r="111" spans="4:22" ht="20.100000000000001" customHeight="1" x14ac:dyDescent="0.25">
      <c r="D111" s="121" t="s">
        <v>376</v>
      </c>
      <c r="O111" s="121" t="s">
        <v>377</v>
      </c>
    </row>
    <row r="112" spans="4:22" ht="20.100000000000001" customHeight="1" x14ac:dyDescent="0.25">
      <c r="D112" s="122" t="s">
        <v>378</v>
      </c>
      <c r="O112" s="122" t="s">
        <v>379</v>
      </c>
    </row>
    <row r="113" spans="3:23" ht="20.100000000000001" customHeight="1" x14ac:dyDescent="0.25">
      <c r="D113" s="123" t="s">
        <v>295</v>
      </c>
      <c r="E113" s="123" t="s">
        <v>296</v>
      </c>
      <c r="F113" s="123" t="s">
        <v>297</v>
      </c>
      <c r="G113" s="123" t="s">
        <v>298</v>
      </c>
      <c r="H113" s="123" t="s">
        <v>299</v>
      </c>
      <c r="O113" s="123" t="s">
        <v>295</v>
      </c>
      <c r="P113" s="123" t="s">
        <v>296</v>
      </c>
      <c r="Q113" s="123" t="s">
        <v>297</v>
      </c>
      <c r="R113" s="123" t="s">
        <v>298</v>
      </c>
      <c r="S113" s="123" t="s">
        <v>299</v>
      </c>
    </row>
    <row r="114" spans="3:23" ht="20.100000000000001" customHeight="1" x14ac:dyDescent="0.25">
      <c r="D114" s="15" cm="1">
        <f t="array" ref="D114">EntericMethane_Dairy_Equations.VEERG_3_3_1_1__3_DryMatterFeedIntake(D99,D104,D109,D79)</f>
        <v>18.834317684367193</v>
      </c>
      <c r="E114" s="15" cm="1">
        <f t="array" ref="E114">EntericMethane_Dairy_Equations.VEERG_3_3_1_1__3_DryMatterFeedIntake(E99,E104,E109,E79)</f>
        <v>7.4188685375999972</v>
      </c>
      <c r="F114" s="15" cm="1">
        <f t="array" ref="F114">EntericMethane_Dairy_Equations.VEERG_3_3_1_1__3_DryMatterFeedIntake(F99,F104,F109,F79)</f>
        <v>4.0231734662249998</v>
      </c>
      <c r="G114" s="15" cm="1">
        <f t="array" ref="G114">EntericMethane_Dairy_Equations.VEERG_3_3_1_1__3_DryMatterFeedIntake(G99,G104,G109,G79)</f>
        <v>9.0270202499999979</v>
      </c>
      <c r="H114" s="15" cm="1">
        <f t="array" ref="H114">EntericMethane_Dairy_Equations.VEERG_3_3_1_1__3_DryMatterFeedIntake(H99,H104,H109,H79)</f>
        <v>5.4143472656250013</v>
      </c>
      <c r="I114" s="16" t="str">
        <f>$E$89</f>
        <v>kg DM/head/day</v>
      </c>
      <c r="J114" s="16"/>
      <c r="K114" s="16"/>
      <c r="O114" s="15" cm="1">
        <f t="array" ref="O114">EntericMethane_Dairy_Equations.VEERG_3_3_1_1__3_DryMatterFeedIntake(O99,O104,D109,O79)</f>
        <v>18.834317684367193</v>
      </c>
      <c r="P114" s="15" cm="1">
        <f t="array" ref="P114">EntericMethane_Dairy_Equations.VEERG_3_3_1_1__3_DryMatterFeedIntake(P99,P104,E109,P79)</f>
        <v>7.4188685375999972</v>
      </c>
      <c r="Q114" s="15" cm="1">
        <f t="array" ref="Q114">EntericMethane_Dairy_Equations.VEERG_3_3_1_1__3_DryMatterFeedIntake(Q99,Q104,F109,Q79)</f>
        <v>4.0231734662249998</v>
      </c>
      <c r="R114" s="15" cm="1">
        <f t="array" ref="R114">EntericMethane_Dairy_Equations.VEERG_3_3_1_1__3_DryMatterFeedIntake(R99,R104,G109,R79)</f>
        <v>9.0270202499999979</v>
      </c>
      <c r="S114" s="15" cm="1">
        <f t="array" ref="S114">EntericMethane_Dairy_Equations.VEERG_3_3_1_1__3_DryMatterFeedIntake(S99,S104,H109,S79)</f>
        <v>5.4143472656250013</v>
      </c>
      <c r="T114" s="16" t="str">
        <f>$E$89</f>
        <v>kg DM/head/day</v>
      </c>
      <c r="U114" s="16"/>
      <c r="V114" s="16"/>
    </row>
    <row r="115" spans="3:23" ht="20.100000000000001" customHeight="1" x14ac:dyDescent="0.25"/>
    <row r="116" spans="3:23" ht="20.100000000000001" customHeight="1" x14ac:dyDescent="0.25"/>
    <row r="117" spans="3:23" ht="20.100000000000001" customHeight="1" x14ac:dyDescent="0.25">
      <c r="C117" s="89"/>
      <c r="D117" s="89"/>
      <c r="E117" s="89"/>
      <c r="F117" s="89"/>
      <c r="G117" s="89"/>
      <c r="H117" s="89"/>
      <c r="I117" s="89"/>
      <c r="J117" s="89"/>
      <c r="K117" s="89"/>
      <c r="L117" s="89"/>
      <c r="N117" s="89"/>
      <c r="O117" s="89"/>
      <c r="P117" s="89"/>
      <c r="Q117" s="89"/>
      <c r="R117" s="89"/>
      <c r="S117" s="89"/>
      <c r="T117" s="89"/>
      <c r="U117" s="89"/>
      <c r="V117" s="89"/>
      <c r="W117" s="89"/>
    </row>
    <row r="118" spans="3:23" ht="20.100000000000001" customHeight="1" x14ac:dyDescent="0.25">
      <c r="D118" s="2" t="str" cm="1">
        <f t="array" ref="D118">MMS_Dairy_Methane_Equations.VEERG_4_3_1_1__3_VolatileSolidsForWeanedDairyCattle_Title()</f>
        <v>Volatile solids for weaned dairy cattle</v>
      </c>
    </row>
    <row r="119" spans="3:23" ht="20.100000000000001" customHeight="1" x14ac:dyDescent="0.25">
      <c r="D119" s="17" t="str" cm="1">
        <f t="array" ref="D119">MMS_Dairy_Methane_Equations.VEERG_4_3_1_1__3_VolatileSolidsForWeanedDairyCattle_Source()</f>
        <v>VEERG 2026: 4.3.1.1, Equation (3)</v>
      </c>
    </row>
    <row r="120" spans="3:23" ht="20.100000000000001" customHeight="1" x14ac:dyDescent="0.25">
      <c r="D120" s="117" t="s">
        <v>343</v>
      </c>
      <c r="E120" s="117"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76" t="s">
        <v>344</v>
      </c>
      <c r="E123" s="1" t="str" cm="1">
        <f t="array" ref="E123">MMS_Dairy_Methane_Equations.VEERG_4_3_1_1__3_VolatileSolidsForWeanedDairyCattle_Variable()</f>
        <v>VS_j</v>
      </c>
    </row>
    <row r="124" spans="3:23" ht="20.100000000000001" customHeight="1" x14ac:dyDescent="0.25">
      <c r="D124" s="76" t="s">
        <v>118</v>
      </c>
      <c r="E124" s="9" t="str" cm="1">
        <f t="array" ref="E124">MMS_Dairy_Methane_Equations.VEERG_4_3_1_1__3_VolatileSolidsForWeanedDairyCattle_Unit()</f>
        <v>kg/head/day</v>
      </c>
    </row>
    <row r="125" spans="3:23" ht="20.100000000000001" customHeight="1" x14ac:dyDescent="0.25"/>
    <row r="126" spans="3:23" ht="20.100000000000001" customHeight="1" x14ac:dyDescent="0.25">
      <c r="D126" s="119" t="str" cm="1">
        <f t="array" ref="D126:E128">_xlfn.CHOOSECOLS(MMS_Dairy_Methane_Equations.VEERG_4_3_1_1__3_VolatileSolidsForWeanedDairyCattle_Arguments(), 1,2)</f>
        <v>I_j</v>
      </c>
      <c r="E126" s="124" t="str">
        <v>dry matter feed intake (kgDM/head/day)</v>
      </c>
      <c r="F126" s="125"/>
      <c r="G126" s="119" t="str" cm="1">
        <f t="array" ref="G126:H128">_xlfn.CHOOSECOLS(MMS_Dairy_Methane_Equations.VEERG_4_3_1_1__3_VolatileSolidsForWeanedDairyCattle_Arguments(), 3,4)</f>
        <v>kgDM/head/day</v>
      </c>
      <c r="H126" s="127" t="str">
        <v>Calculated from 3.3.1.1 (3)</v>
      </c>
      <c r="I126" s="126" t="str" cm="1">
        <f t="array" aca="1" ref="I126" ca="1">HYPERLINK(Common_InputFunctions.Utility_SourceHyperlink($D$111), $D$111)</f>
        <v>M1_Table_I_j</v>
      </c>
    </row>
    <row r="127" spans="3:23" ht="20.100000000000001" customHeight="1" x14ac:dyDescent="0.25">
      <c r="D127" s="119" t="str">
        <v>DMD_j</v>
      </c>
      <c r="E127" s="124" t="str">
        <v>dry matter digestibility</v>
      </c>
      <c r="F127" s="125"/>
      <c r="G127" s="119" t="str">
        <v>fraction</v>
      </c>
      <c r="H127" s="120" t="str">
        <v>Input</v>
      </c>
      <c r="I127" s="126" t="str" cm="1">
        <f t="array" aca="1" ref="I127" ca="1">HYPERLINK(Common_InputFunctions.Utility_SourceHyperlink($D$16), $D$16)</f>
        <v>M1_Table_DMD_j</v>
      </c>
    </row>
    <row r="128" spans="3:23" ht="20.100000000000001" customHeight="1" x14ac:dyDescent="0.25">
      <c r="D128" s="119" t="str">
        <v>A</v>
      </c>
      <c r="E128" s="124" t="str">
        <v>ash content of feed intake</v>
      </c>
      <c r="F128" s="125"/>
      <c r="G128" s="119" t="str">
        <v>fraction</v>
      </c>
      <c r="H128" s="127" t="str">
        <v>Constant</v>
      </c>
      <c r="I128" s="119">
        <f>SourceData_Dairy_AshContent_Data</f>
        <v>0.08</v>
      </c>
    </row>
    <row r="129" spans="3:23" ht="20.100000000000001" customHeight="1" x14ac:dyDescent="0.25"/>
    <row r="130" spans="3:23" ht="20.100000000000001" customHeight="1" x14ac:dyDescent="0.25">
      <c r="D130" s="121" t="s">
        <v>380</v>
      </c>
      <c r="O130" s="121" t="s">
        <v>381</v>
      </c>
    </row>
    <row r="131" spans="3:23" ht="20.100000000000001" customHeight="1" x14ac:dyDescent="0.25">
      <c r="D131" s="122" t="s">
        <v>382</v>
      </c>
      <c r="O131" s="122" t="s">
        <v>383</v>
      </c>
    </row>
    <row r="132" spans="3:23" ht="20.100000000000001" customHeight="1" x14ac:dyDescent="0.25">
      <c r="D132" s="123" t="s">
        <v>295</v>
      </c>
      <c r="E132" s="123" t="s">
        <v>296</v>
      </c>
      <c r="F132" s="123" t="s">
        <v>297</v>
      </c>
      <c r="G132" s="123" t="s">
        <v>298</v>
      </c>
      <c r="H132" s="123" t="s">
        <v>299</v>
      </c>
      <c r="O132" s="123" t="s">
        <v>295</v>
      </c>
      <c r="P132" s="123" t="s">
        <v>296</v>
      </c>
      <c r="Q132" s="123" t="s">
        <v>297</v>
      </c>
      <c r="R132" s="123" t="s">
        <v>298</v>
      </c>
      <c r="S132" s="123" t="s">
        <v>299</v>
      </c>
    </row>
    <row r="133" spans="3:23" ht="20.100000000000001" customHeight="1" x14ac:dyDescent="0.25">
      <c r="D133" s="15" cm="1">
        <f t="array" ref="D133">MMS_Dairy_Methane_Equations.VEERG_4_3_1_1__3_VolatileSolidsForWeanedDairyCattle(D114,D19,$I$128)</f>
        <v>5.0249959581891668</v>
      </c>
      <c r="E133" s="15" cm="1">
        <f t="array" ref="E133">MMS_Dairy_Methane_Equations.VEERG_4_3_1_1__3_VolatileSolidsForWeanedDairyCattle(E114,E19,$I$128)</f>
        <v>1.9793541258316791</v>
      </c>
      <c r="F133" s="15" cm="1">
        <f t="array" ref="F133">MMS_Dairy_Methane_Equations.VEERG_4_3_1_1__3_VolatileSolidsForWeanedDairyCattle(F114,F19,$I$128)</f>
        <v>1.07338268078883</v>
      </c>
      <c r="G133" s="15" cm="1">
        <f t="array" ref="G133">MMS_Dairy_Methane_Equations.VEERG_4_3_1_1__3_VolatileSolidsForWeanedDairyCattle(G114,G19,$I$128)</f>
        <v>2.4084090026999996</v>
      </c>
      <c r="H133" s="15" cm="1">
        <f t="array" ref="H133">MMS_Dairy_Methane_Equations.VEERG_4_3_1_1__3_VolatileSolidsForWeanedDairyCattle(H114,H19,$I$128)</f>
        <v>1.4445478504687506</v>
      </c>
      <c r="I133" s="16" t="str">
        <f>$E$124</f>
        <v>kg/head/day</v>
      </c>
      <c r="O133" s="15" cm="1">
        <f t="array" ref="O133">MMS_Dairy_Methane_Equations.VEERG_4_3_1_1__3_VolatileSolidsForWeanedDairyCattle(O114,O19,$I$128)</f>
        <v>5.0249959581891668</v>
      </c>
      <c r="P133" s="15" cm="1">
        <f t="array" ref="P133">MMS_Dairy_Methane_Equations.VEERG_4_3_1_1__3_VolatileSolidsForWeanedDairyCattle(P114,P19,$I$128)</f>
        <v>1.9793541258316791</v>
      </c>
      <c r="Q133" s="15" cm="1">
        <f t="array" ref="Q133">MMS_Dairy_Methane_Equations.VEERG_4_3_1_1__3_VolatileSolidsForWeanedDairyCattle(Q114,Q19,$I$128)</f>
        <v>1.07338268078883</v>
      </c>
      <c r="R133" s="15" cm="1">
        <f t="array" ref="R133">MMS_Dairy_Methane_Equations.VEERG_4_3_1_1__3_VolatileSolidsForWeanedDairyCattle(R114,R19,$I$128)</f>
        <v>2.4084090026999996</v>
      </c>
      <c r="S133" s="15" cm="1">
        <f t="array" ref="S133">MMS_Dairy_Methane_Equations.VEERG_4_3_1_1__3_VolatileSolidsForWeanedDairyCattle(S114,S19,$I$128)</f>
        <v>1.4445478504687506</v>
      </c>
      <c r="T133" s="16" t="str">
        <f>$E$124</f>
        <v>kg/head/day</v>
      </c>
    </row>
    <row r="134" spans="3:23" ht="20.100000000000001" customHeight="1" x14ac:dyDescent="0.25"/>
    <row r="135" spans="3:23" ht="20.100000000000001" customHeight="1" x14ac:dyDescent="0.25"/>
    <row r="136" spans="3:23" ht="20.100000000000001" customHeight="1" x14ac:dyDescent="0.25">
      <c r="C136" s="89"/>
      <c r="D136" s="89"/>
      <c r="E136" s="89"/>
      <c r="F136" s="89"/>
      <c r="G136" s="89"/>
      <c r="H136" s="89"/>
      <c r="I136" s="89"/>
      <c r="J136" s="89"/>
      <c r="K136" s="89"/>
      <c r="L136" s="89"/>
      <c r="N136" s="89"/>
      <c r="O136" s="89"/>
      <c r="P136" s="89"/>
      <c r="Q136" s="89"/>
      <c r="R136" s="89"/>
      <c r="S136" s="89"/>
      <c r="T136" s="89"/>
      <c r="U136" s="89"/>
      <c r="V136" s="89"/>
      <c r="W136" s="89"/>
    </row>
    <row r="137" spans="3:23" ht="20.100000000000001" customHeight="1" x14ac:dyDescent="0.25">
      <c r="D137" s="2" t="str" cm="1">
        <f t="array" ref="D137">MMS_Dairy_Methane_Equations.VEERG_4_3_1_1__4_FractionVolatileSolidsNotSolidStorage_Title()</f>
        <v>Fraction of volatile solids in each system other than solid storage</v>
      </c>
    </row>
    <row r="138" spans="3:23" ht="20.100000000000001" customHeight="1" x14ac:dyDescent="0.25">
      <c r="D138" s="17" t="str" cm="1">
        <f t="array" ref="D138">MMS_Dairy_Methane_Equations.VEERG_4_3_1_1__4_FractionVolatileSolidsNotSolidStorage_Source()</f>
        <v>VEERG 2026: 4.3.1.1, Equation (4)</v>
      </c>
      <c r="E138" s="117"/>
    </row>
    <row r="139" spans="3:23" ht="20.100000000000001" customHeight="1" x14ac:dyDescent="0.25">
      <c r="D139" s="117" t="s">
        <v>343</v>
      </c>
      <c r="E139" s="117" t="str" cm="1">
        <f t="array" aca="1" ref="E139" ca="1">Common_InputFunctions.Utility_DisplayFunctionName(F174)</f>
        <v>=MMS_Dairy_Methane_Equations.VEERG_4_3_1_1__4_FractionVolatileSolidsNotSolidStorage</v>
      </c>
    </row>
    <row r="140" spans="3:23" ht="20.100000000000001" customHeight="1" x14ac:dyDescent="0.25">
      <c r="D140" s="2"/>
    </row>
    <row r="141" spans="3:23" ht="20.100000000000001" customHeight="1" x14ac:dyDescent="0.25"/>
    <row r="142" spans="3:23" ht="20.100000000000001" customHeight="1" x14ac:dyDescent="0.25">
      <c r="D142" s="76" t="s">
        <v>344</v>
      </c>
      <c r="E142" s="1" t="str" cm="1">
        <f t="array" ref="E142">MMS_Dairy_Methane_Equations.VEERG_4_3_1_1__4_FractionVolatileSolidsNotSolidStorage_Variable()</f>
        <v>FVS_jm</v>
      </c>
    </row>
    <row r="143" spans="3:23" ht="20.100000000000001" customHeight="1" x14ac:dyDescent="0.25">
      <c r="D143" s="76" t="s">
        <v>118</v>
      </c>
      <c r="E143" s="9"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19" t="str" cm="1">
        <f t="array" ref="D145:E146">_xlfn.CHOOSECOLS(MMS_Dairy_Methane_Equations.VEERG_4_3_1_1__4_FractionVolatileSolidsNotSolidStorage_Arguments(),1,2)</f>
        <v>MMS_jm</v>
      </c>
      <c r="E145" s="119" t="str">
        <v>fraction of manure to each primary MMS for each class prior to solid separation</v>
      </c>
      <c r="F145" s="119"/>
      <c r="G145" s="119" t="str" cm="1">
        <f t="array" ref="G145:H146">_xlfn.CHOOSECOLS(MMS_Dairy_Methane_Equations.VEERG_4_3_1_1__4_FractionVolatileSolidsNotSolidStorage_Arguments(),3,4)</f>
        <v>fraction</v>
      </c>
      <c r="H145" s="120" t="str">
        <v>Input</v>
      </c>
      <c r="I145" s="126" t="str" cm="1">
        <f t="array" aca="1" ref="I145" ca="1">HYPERLINK(Common_InputFunctions.Utility_SourceHyperlink($D$148),$D$148)</f>
        <v>M1_Table_MMS_j_m</v>
      </c>
    </row>
    <row r="146" spans="4:22" ht="20.100000000000001" customHeight="1" x14ac:dyDescent="0.25">
      <c r="D146" s="119" t="str">
        <v>SS_m</v>
      </c>
      <c r="E146" s="119" t="str">
        <v>fraction of volatile solids separated to solid storage for each MMS</v>
      </c>
      <c r="F146" s="119"/>
      <c r="G146" s="119" t="str">
        <v>fraction</v>
      </c>
      <c r="H146" s="120" t="str">
        <v>Input</v>
      </c>
      <c r="I146" s="126" t="str" cm="1">
        <f t="array" aca="1" ref="I146" ca="1">HYPERLINK(Common_InputFunctions.Utility_SourceHyperlink($D$159),$D$159)</f>
        <v>M1_Table_SS_m</v>
      </c>
    </row>
    <row r="147" spans="4:22" ht="20.100000000000001" customHeight="1" x14ac:dyDescent="0.25"/>
    <row r="148" spans="4:22" ht="20.100000000000001" customHeight="1" x14ac:dyDescent="0.25">
      <c r="D148" s="121" t="s">
        <v>384</v>
      </c>
      <c r="O148" s="121" t="s">
        <v>385</v>
      </c>
    </row>
    <row r="149" spans="4:22" ht="20.100000000000001" customHeight="1" x14ac:dyDescent="0.25">
      <c r="D149" s="122" t="s">
        <v>386</v>
      </c>
      <c r="O149" s="122" t="s">
        <v>387</v>
      </c>
    </row>
    <row r="150" spans="4:22" ht="20.100000000000001" customHeight="1" x14ac:dyDescent="0.25">
      <c r="D150" s="81" t="s">
        <v>161</v>
      </c>
      <c r="E150" s="81" t="s">
        <v>388</v>
      </c>
      <c r="F150" s="81" t="s">
        <v>295</v>
      </c>
      <c r="G150" s="81" t="s">
        <v>296</v>
      </c>
      <c r="H150" s="81" t="s">
        <v>297</v>
      </c>
      <c r="I150" s="81" t="s">
        <v>298</v>
      </c>
      <c r="J150" s="81" t="s">
        <v>299</v>
      </c>
      <c r="O150" s="81" t="s">
        <v>161</v>
      </c>
      <c r="P150" s="81" t="s">
        <v>388</v>
      </c>
      <c r="Q150" s="81" t="s">
        <v>295</v>
      </c>
      <c r="R150" s="81" t="s">
        <v>296</v>
      </c>
      <c r="S150" s="81" t="s">
        <v>297</v>
      </c>
      <c r="T150" s="81" t="s">
        <v>298</v>
      </c>
      <c r="U150" s="81" t="s">
        <v>299</v>
      </c>
    </row>
    <row r="151" spans="4:22" ht="20.100000000000001" customHeight="1" x14ac:dyDescent="0.25">
      <c r="D151" s="15" t="str">
        <f>INDEX(X_Table_Dairy_ProductionSystems_Method1,2,1)</f>
        <v>Pasture</v>
      </c>
      <c r="E151" s="15" t="str">
        <f>'Constants - Common Livestock'!$E$27</f>
        <v>Pasture range and paddock</v>
      </c>
      <c r="F151" s="15" cm="1">
        <f t="array" aca="1" ref="F151:J151" ca="1">OFFSET(X_Table_Dairy_ProductionSystems_Method1, 1,1,1,5)</f>
        <v>0.53400000000000003</v>
      </c>
      <c r="G151" s="15">
        <f ca="1"/>
        <v>0.53400000000000003</v>
      </c>
      <c r="H151" s="15">
        <f ca="1"/>
        <v>0.53400000000000003</v>
      </c>
      <c r="I151" s="15">
        <f ca="1"/>
        <v>0.53400000000000003</v>
      </c>
      <c r="J151" s="15">
        <f ca="1"/>
        <v>0.53400000000000003</v>
      </c>
      <c r="K151" s="16" t="str">
        <f>$G$145</f>
        <v>fraction</v>
      </c>
      <c r="O151" s="15" t="str">
        <f>INDEX(X_Table_Dairy_ProductionSystems_Method1,2,1)</f>
        <v>Pasture</v>
      </c>
      <c r="P151" s="15" t="str">
        <f>'Constants - Common Livestock'!$E$27</f>
        <v>Pasture range and paddock</v>
      </c>
      <c r="Q151" s="15" cm="1">
        <f t="array" aca="1" ref="Q151:U151" ca="1">OFFSET(X_Table_Dairy_ProductionSystems_Method2, 1,1,1,5)</f>
        <v>0.53400000000000003</v>
      </c>
      <c r="R151" s="15">
        <f ca="1"/>
        <v>0.53400000000000003</v>
      </c>
      <c r="S151" s="15">
        <f ca="1"/>
        <v>0.53400000000000003</v>
      </c>
      <c r="T151" s="15">
        <f ca="1"/>
        <v>0.53400000000000003</v>
      </c>
      <c r="U151" s="15">
        <f ca="1"/>
        <v>0.53400000000000003</v>
      </c>
    </row>
    <row r="152" spans="4:22" ht="20.100000000000001" customHeight="1" x14ac:dyDescent="0.25">
      <c r="D152" s="15" t="str">
        <f>INDEX(X_Table_Dairy_ProductionSystems_Method1,3,1)</f>
        <v>Milking shed</v>
      </c>
      <c r="E152" s="15" t="str">
        <f>INDEX(X_Table_Dairy_Stage1MMS_1_AnaerobicLagoon,2,1)</f>
        <v>Anaerobic lagoon</v>
      </c>
      <c r="F152" s="15" cm="1">
        <f t="array" aca="1" ref="F152:J152" ca="1">OFFSET(X_Table_Dairy_ProductionSystems_Method1, 2,1,1,5)*OFFSET(X_Table_Dairy_Stage1MMS_1_AnaerobicLagoon, 1,1,1,5)</f>
        <v>2.75E-2</v>
      </c>
      <c r="G152" s="15">
        <f ca="1"/>
        <v>2.75E-2</v>
      </c>
      <c r="H152" s="15">
        <f ca="1"/>
        <v>2.75E-2</v>
      </c>
      <c r="I152" s="15">
        <f ca="1"/>
        <v>2.75E-2</v>
      </c>
      <c r="J152" s="15">
        <f ca="1"/>
        <v>2.75E-2</v>
      </c>
      <c r="K152" s="16"/>
      <c r="O152" s="15" t="str">
        <f>INDEX(X_Table_Dairy_ProductionSystems_Method1,3,1)</f>
        <v>Milking shed</v>
      </c>
      <c r="P152" s="15" t="str">
        <f>INDEX(X_Table_Dairy_Stage1MMS_1_AnaerobicLagoon,2,1)</f>
        <v>Anaerobic lagoon</v>
      </c>
      <c r="Q152" s="15" cm="1">
        <f t="array" aca="1" ref="Q152:U152" ca="1">OFFSET(X_Table_Dairy_ProductionSystems_Method2, 2,1,1,5)*OFFSET(X_Table_Dairy_Stage1MMS_1_AnaerobicLagoon, 1,1,1,5)</f>
        <v>2.75E-2</v>
      </c>
      <c r="R152" s="15">
        <f ca="1"/>
        <v>2.75E-2</v>
      </c>
      <c r="S152" s="15">
        <f ca="1"/>
        <v>2.75E-2</v>
      </c>
      <c r="T152" s="15">
        <f ca="1"/>
        <v>2.75E-2</v>
      </c>
      <c r="U152" s="15">
        <f ca="1"/>
        <v>2.75E-2</v>
      </c>
      <c r="V152" s="16" t="str">
        <f>$G$145</f>
        <v>fraction</v>
      </c>
    </row>
    <row r="153" spans="4:22" ht="20.100000000000001" customHeight="1" x14ac:dyDescent="0.25">
      <c r="D153" s="15" t="str">
        <f>INDEX(X_Table_Dairy_ProductionSystems_Method1,3,1)</f>
        <v>Milking shed</v>
      </c>
      <c r="E153" s="15" t="str">
        <f>INDEX(X_Table_Dairy_Stage1MMS_1_SumpAndDispersal,2,1)</f>
        <v>Sump and dispersal system</v>
      </c>
      <c r="F153" s="15" cm="1">
        <f t="array" aca="1" ref="F153:J153" ca="1">OFFSET(X_Table_Dairy_ProductionSystems_Method1, 2,1,1,5)*OFFSET(X_Table_Dairy_Stage1MMS_1_SumpAndDispersal, 1,1,1,5)</f>
        <v>2.75E-2</v>
      </c>
      <c r="G153" s="15">
        <f ca="1"/>
        <v>2.75E-2</v>
      </c>
      <c r="H153" s="15">
        <f ca="1"/>
        <v>2.75E-2</v>
      </c>
      <c r="I153" s="15">
        <f ca="1"/>
        <v>2.75E-2</v>
      </c>
      <c r="J153" s="15">
        <f ca="1"/>
        <v>2.75E-2</v>
      </c>
      <c r="K153" s="16"/>
      <c r="O153" s="15" t="str">
        <f>INDEX(X_Table_Dairy_ProductionSystems_Method1,3,1)</f>
        <v>Milking shed</v>
      </c>
      <c r="P153" s="15" t="str">
        <f>INDEX(X_Table_Dairy_Stage1MMS_1_SumpAndDispersal,2,1)</f>
        <v>Sump and dispersal system</v>
      </c>
      <c r="Q153" s="15" cm="1">
        <f t="array" aca="1" ref="Q153:U153" ca="1">OFFSET(X_Table_Dairy_ProductionSystems_Method2, 2,1,1,5)*OFFSET(X_Table_Dairy_Stage1MMS_1_SumpAndDispersal, 1,1,1,5)</f>
        <v>2.75E-2</v>
      </c>
      <c r="R153" s="15">
        <f ca="1"/>
        <v>2.75E-2</v>
      </c>
      <c r="S153" s="15">
        <f ca="1"/>
        <v>2.75E-2</v>
      </c>
      <c r="T153" s="15">
        <f ca="1"/>
        <v>2.75E-2</v>
      </c>
      <c r="U153" s="15">
        <f ca="1"/>
        <v>2.75E-2</v>
      </c>
      <c r="V153" s="16"/>
    </row>
    <row r="154" spans="4:22" ht="20.100000000000001" customHeight="1" x14ac:dyDescent="0.25">
      <c r="D154" s="15" t="str">
        <f>INDEX(X_Table_Dairy_ProductionSystems_Method1,3,1)</f>
        <v>Milking shed</v>
      </c>
      <c r="E154" s="15" t="str">
        <f>INDEX(X_Table_Dairy_Stage1MMS_1_DrainsToPaddock,2,1)</f>
        <v>Drains to paddock</v>
      </c>
      <c r="F154" s="15" cm="1">
        <f t="array" aca="1" ref="F154:J154" ca="1">OFFSET(X_Table_Dairy_ProductionSystems_Method1, 2,1,1,5)*OFFSET(X_Table_Dairy_Stage1MMS_1_DrainsToPaddock, 1,1,1,5)</f>
        <v>2.75E-2</v>
      </c>
      <c r="G154" s="15">
        <f ca="1"/>
        <v>2.75E-2</v>
      </c>
      <c r="H154" s="15">
        <f ca="1"/>
        <v>2.75E-2</v>
      </c>
      <c r="I154" s="15">
        <f ca="1"/>
        <v>2.75E-2</v>
      </c>
      <c r="J154" s="15">
        <f ca="1"/>
        <v>2.75E-2</v>
      </c>
      <c r="K154" s="16"/>
      <c r="O154" s="15" t="str">
        <f>INDEX(X_Table_Dairy_ProductionSystems_Method1,3,1)</f>
        <v>Milking shed</v>
      </c>
      <c r="P154" s="15" t="str">
        <f>INDEX(X_Table_Dairy_Stage1MMS_1_DrainsToPaddock,2,1)</f>
        <v>Drains to paddock</v>
      </c>
      <c r="Q154" s="15" cm="1">
        <f t="array" aca="1" ref="Q154:U154" ca="1">OFFSET(X_Table_Dairy_ProductionSystems_Method2, 2,1,1,5)*OFFSET(X_Table_Dairy_Stage1MMS_1_DrainsToPaddock, 1,1,1,5)</f>
        <v>2.75E-2</v>
      </c>
      <c r="R154" s="15">
        <f ca="1"/>
        <v>2.75E-2</v>
      </c>
      <c r="S154" s="15">
        <f ca="1"/>
        <v>2.75E-2</v>
      </c>
      <c r="T154" s="15">
        <f ca="1"/>
        <v>2.75E-2</v>
      </c>
      <c r="U154" s="15">
        <f ca="1"/>
        <v>2.75E-2</v>
      </c>
      <c r="V154" s="16"/>
    </row>
    <row r="155" spans="4:22" ht="20.100000000000001" customHeight="1" x14ac:dyDescent="0.25">
      <c r="D155" s="15" t="str">
        <f>INDEX(X_Table_Dairy_ProductionSystems_Method1,4,1)</f>
        <v>Feed pad</v>
      </c>
      <c r="E155" s="15" t="str">
        <f>INDEX(X_Table_Dairy_Stage1MMS_2_AnaerobicLagoon,2,1)</f>
        <v>Anaerobic lagoon</v>
      </c>
      <c r="F155" s="15" cm="1">
        <f t="array" aca="1" ref="F155:J155" ca="1">OFFSET(X_Table_Dairy_ProductionSystems_Method1, 3,1,1,5)*OFFSET(X_Table_Dairy_Stage1MMS_1_AnaerobicLagoon, 1,1,1,5)</f>
        <v>8.8999999999999996E-2</v>
      </c>
      <c r="G155" s="15">
        <f ca="1"/>
        <v>8.8999999999999996E-2</v>
      </c>
      <c r="H155" s="15">
        <f ca="1"/>
        <v>8.8999999999999996E-2</v>
      </c>
      <c r="I155" s="15">
        <f ca="1"/>
        <v>8.8999999999999996E-2</v>
      </c>
      <c r="J155" s="15">
        <f ca="1"/>
        <v>8.8999999999999996E-2</v>
      </c>
      <c r="K155" s="16"/>
      <c r="O155" s="15" t="str">
        <f>INDEX(X_Table_Dairy_ProductionSystems_Method1,4,1)</f>
        <v>Feed pad</v>
      </c>
      <c r="P155" s="15" t="str">
        <f>INDEX(X_Table_Dairy_Stage1MMS_2_AnaerobicLagoon,2,1)</f>
        <v>Anaerobic lagoon</v>
      </c>
      <c r="Q155" s="15" cm="1">
        <f t="array" aca="1" ref="Q155:U155" ca="1">OFFSET(X_Table_Dairy_ProductionSystems_Method2, 3,1,1,5)*OFFSET(X_Table_Dairy_Stage1MMS_1_AnaerobicLagoon, 1,1,1,5)</f>
        <v>8.8999999999999996E-2</v>
      </c>
      <c r="R155" s="15">
        <f ca="1"/>
        <v>8.8999999999999996E-2</v>
      </c>
      <c r="S155" s="15">
        <f ca="1"/>
        <v>8.8999999999999996E-2</v>
      </c>
      <c r="T155" s="15">
        <f ca="1"/>
        <v>8.8999999999999996E-2</v>
      </c>
      <c r="U155" s="15">
        <f ca="1"/>
        <v>8.8999999999999996E-2</v>
      </c>
      <c r="V155" s="16"/>
    </row>
    <row r="156" spans="4:22" ht="20.100000000000001" customHeight="1" x14ac:dyDescent="0.25">
      <c r="D156" s="15" t="str">
        <f>INDEX(X_Table_Dairy_ProductionSystems_Method1,4,1)</f>
        <v>Feed pad</v>
      </c>
      <c r="E156" s="15" t="str">
        <f>INDEX(X_Table_Dairy_Stage1MMS_2_SumpAndDispersal,2,1)</f>
        <v>Sump and dispersal system</v>
      </c>
      <c r="F156" s="15" cm="1">
        <f t="array" aca="1" ref="F156:J156" ca="1">OFFSET(X_Table_Dairy_ProductionSystems_Method1, 3,1,1,5)*OFFSET(X_Table_Dairy_Stage1MMS_1_SumpAndDispersal, 1,1,1,5)</f>
        <v>8.8999999999999996E-2</v>
      </c>
      <c r="G156" s="15">
        <f ca="1"/>
        <v>8.8999999999999996E-2</v>
      </c>
      <c r="H156" s="15">
        <f ca="1"/>
        <v>8.8999999999999996E-2</v>
      </c>
      <c r="I156" s="15">
        <f ca="1"/>
        <v>8.8999999999999996E-2</v>
      </c>
      <c r="J156" s="15">
        <f ca="1"/>
        <v>8.8999999999999996E-2</v>
      </c>
      <c r="K156" s="16"/>
      <c r="O156" s="15" t="str">
        <f>INDEX(X_Table_Dairy_ProductionSystems_Method1,4,1)</f>
        <v>Feed pad</v>
      </c>
      <c r="P156" s="15" t="str">
        <f>INDEX(X_Table_Dairy_Stage1MMS_2_SumpAndDispersal,2,1)</f>
        <v>Sump and dispersal system</v>
      </c>
      <c r="Q156" s="15" cm="1">
        <f t="array" aca="1" ref="Q156:U156" ca="1">OFFSET(X_Table_Dairy_ProductionSystems_Method2, 3,1,1,5)*OFFSET(X_Table_Dairy_Stage1MMS_1_SumpAndDispersal, 1,1,1,5)</f>
        <v>8.8999999999999996E-2</v>
      </c>
      <c r="R156" s="15">
        <f ca="1"/>
        <v>8.8999999999999996E-2</v>
      </c>
      <c r="S156" s="15">
        <f ca="1"/>
        <v>8.8999999999999996E-2</v>
      </c>
      <c r="T156" s="15">
        <f ca="1"/>
        <v>8.8999999999999996E-2</v>
      </c>
      <c r="U156" s="15">
        <f ca="1"/>
        <v>8.8999999999999996E-2</v>
      </c>
      <c r="V156" s="16"/>
    </row>
    <row r="157" spans="4:22" ht="20.100000000000001" customHeight="1" x14ac:dyDescent="0.25">
      <c r="D157" s="15" t="str">
        <f>INDEX(X_Table_Dairy_ProductionSystems_Method1,4,1)</f>
        <v>Feed pad</v>
      </c>
      <c r="E157" s="15" t="str">
        <f>INDEX(X_Table_Dairy_Stage1MMS_2_DrainsToPaddock,2,1)</f>
        <v>Drains to paddock</v>
      </c>
      <c r="F157" s="15" cm="1">
        <f t="array" aca="1" ref="F157:J157" ca="1">OFFSET(X_Table_Dairy_ProductionSystems_Method1, 3,1,1,5)*OFFSET(X_Table_Dairy_Stage1MMS_1_DrainsToPaddock, 1,1,1,5)</f>
        <v>8.8999999999999996E-2</v>
      </c>
      <c r="G157" s="15">
        <f ca="1"/>
        <v>8.8999999999999996E-2</v>
      </c>
      <c r="H157" s="15">
        <f ca="1"/>
        <v>8.8999999999999996E-2</v>
      </c>
      <c r="I157" s="15">
        <f ca="1"/>
        <v>8.8999999999999996E-2</v>
      </c>
      <c r="J157" s="15">
        <f ca="1"/>
        <v>8.8999999999999996E-2</v>
      </c>
      <c r="K157" s="16"/>
      <c r="O157" s="15" t="str">
        <f>INDEX(X_Table_Dairy_ProductionSystems_Method1,4,1)</f>
        <v>Feed pad</v>
      </c>
      <c r="P157" s="15" t="str">
        <f>INDEX(X_Table_Dairy_Stage1MMS_2_DrainsToPaddock,2,1)</f>
        <v>Drains to paddock</v>
      </c>
      <c r="Q157" s="15" cm="1">
        <f t="array" aca="1" ref="Q157:U157" ca="1">OFFSET(X_Table_Dairy_ProductionSystems_Method2, 3,1,1,5)*OFFSET(X_Table_Dairy_Stage1MMS_1_DrainsToPaddock, 1,1,1,5)</f>
        <v>8.8999999999999996E-2</v>
      </c>
      <c r="R157" s="15">
        <f ca="1"/>
        <v>8.8999999999999996E-2</v>
      </c>
      <c r="S157" s="15">
        <f ca="1"/>
        <v>8.8999999999999996E-2</v>
      </c>
      <c r="T157" s="15">
        <f ca="1"/>
        <v>8.8999999999999996E-2</v>
      </c>
      <c r="U157" s="15">
        <f ca="1"/>
        <v>8.8999999999999996E-2</v>
      </c>
      <c r="V157" s="16"/>
    </row>
    <row r="158" spans="4:22" ht="20.100000000000001" customHeight="1" x14ac:dyDescent="0.25"/>
    <row r="159" spans="4:22" ht="20.100000000000001" customHeight="1" x14ac:dyDescent="0.25">
      <c r="D159" s="121" t="s">
        <v>389</v>
      </c>
      <c r="O159" s="121" t="s">
        <v>390</v>
      </c>
    </row>
    <row r="160" spans="4:22" ht="20.100000000000001" customHeight="1" x14ac:dyDescent="0.25">
      <c r="D160" s="122" t="s">
        <v>391</v>
      </c>
      <c r="O160" s="122" t="s">
        <v>392</v>
      </c>
    </row>
    <row r="161" spans="4:22" ht="20.100000000000001" customHeight="1" x14ac:dyDescent="0.25">
      <c r="D161" s="81" t="s">
        <v>161</v>
      </c>
      <c r="E161" s="81" t="s">
        <v>388</v>
      </c>
      <c r="F161" s="81" t="s">
        <v>393</v>
      </c>
      <c r="O161" s="81" t="s">
        <v>161</v>
      </c>
      <c r="P161" s="81" t="s">
        <v>388</v>
      </c>
      <c r="Q161" s="81" t="s">
        <v>393</v>
      </c>
    </row>
    <row r="162" spans="4:22" ht="20.100000000000001" customHeight="1" x14ac:dyDescent="0.25">
      <c r="D162" s="15" t="str">
        <f>INDEX(X_Table_Dairy_ProductionSystems_Method1,2,1)</f>
        <v>Pasture</v>
      </c>
      <c r="E162" s="15" t="str">
        <f>'Constants - Common Livestock'!$E$27</f>
        <v>Pasture range and paddock</v>
      </c>
      <c r="F162" s="15">
        <v>0</v>
      </c>
      <c r="G162" s="16" t="str">
        <f>$G$146</f>
        <v>fraction</v>
      </c>
      <c r="O162" s="15" t="str">
        <f>INDEX(X_Table_Dairy_ProductionSystems_Method1,2,1)</f>
        <v>Pasture</v>
      </c>
      <c r="P162" s="15" t="str">
        <f>'Constants - Common Livestock'!$E$27</f>
        <v>Pasture range and paddock</v>
      </c>
      <c r="Q162" s="15">
        <v>0</v>
      </c>
      <c r="R162" s="16" t="str">
        <f>$G$146</f>
        <v>fraction</v>
      </c>
    </row>
    <row r="163" spans="4:22" ht="20.100000000000001" customHeight="1" x14ac:dyDescent="0.25">
      <c r="D163" s="15" t="str">
        <f>INDEX(X_Table_Dairy_ProductionSystems_Method1,3,1)</f>
        <v>Milking shed</v>
      </c>
      <c r="E163" s="15" t="str">
        <f>INDEX(X_Table_Dairy_Stage1MMS_1_AnaerobicLagoon,2,1)</f>
        <v>Anaerobic lagoon</v>
      </c>
      <c r="F163" s="15">
        <f>X_Cell_Dairy_Stage1MMS_1_AnaerobicLagoon_AmountSeparated_Method1</f>
        <v>0.2</v>
      </c>
      <c r="O163" s="15" t="str">
        <f>INDEX(X_Table_Dairy_ProductionSystems_Method1,3,1)</f>
        <v>Milking shed</v>
      </c>
      <c r="P163" s="15" t="str">
        <f>INDEX(X_Table_Dairy_Stage1MMS_1_AnaerobicLagoon,2,1)</f>
        <v>Anaerobic lagoon</v>
      </c>
      <c r="Q163" s="15">
        <f>X_Cell_Dairy_Stage1MMS_1_AnaerobicLagoon_AmountSeparated_Method2</f>
        <v>0.2</v>
      </c>
      <c r="R163" s="16"/>
    </row>
    <row r="164" spans="4:22" ht="20.100000000000001" customHeight="1" x14ac:dyDescent="0.25">
      <c r="D164" s="15" t="str">
        <f>INDEX(X_Table_Dairy_ProductionSystems_Method1,3,1)</f>
        <v>Milking shed</v>
      </c>
      <c r="E164" s="15" t="str">
        <f>INDEX(X_Table_Dairy_Stage1MMS_1_SumpAndDispersal,2,1)</f>
        <v>Sump and dispersal system</v>
      </c>
      <c r="F164" s="15">
        <f>X_Cell_Dairy_Stage1MMS_1_SumpAndDispersal_AmountSeparated_Method1</f>
        <v>0.2</v>
      </c>
      <c r="G164" s="16"/>
      <c r="O164" s="15" t="str">
        <f>INDEX(X_Table_Dairy_ProductionSystems_Method1,3,1)</f>
        <v>Milking shed</v>
      </c>
      <c r="P164" s="15" t="str">
        <f>INDEX(X_Table_Dairy_Stage1MMS_1_SumpAndDispersal,2,1)</f>
        <v>Sump and dispersal system</v>
      </c>
      <c r="Q164" s="15">
        <f>X_Cell_Dairy_Stage1MMS_1_SumpAndDispersal_AmountSeparated_Method2</f>
        <v>0.2</v>
      </c>
      <c r="R164" s="16"/>
    </row>
    <row r="165" spans="4:22" ht="20.100000000000001" customHeight="1" x14ac:dyDescent="0.25">
      <c r="D165" s="15" t="str">
        <f>INDEX(X_Table_Dairy_ProductionSystems_Method1,3,1)</f>
        <v>Milking shed</v>
      </c>
      <c r="E165" s="15" t="str">
        <f>INDEX(X_Table_Dairy_Stage1MMS_1_DrainsToPaddock,2,1)</f>
        <v>Drains to paddock</v>
      </c>
      <c r="F165" s="15">
        <f>X_Cell_Dairy_Stage1MMS_1_DrainsToPaddock_AmountSeparated_Method1</f>
        <v>0.2</v>
      </c>
      <c r="G165" s="16"/>
      <c r="O165" s="15" t="str">
        <f>INDEX(X_Table_Dairy_ProductionSystems_Method1,3,1)</f>
        <v>Milking shed</v>
      </c>
      <c r="P165" s="15" t="str">
        <f>INDEX(X_Table_Dairy_Stage1MMS_1_DrainsToPaddock,2,1)</f>
        <v>Drains to paddock</v>
      </c>
      <c r="Q165" s="15">
        <f>X_Cell_Dairy_Stage1MMS_1_DrainsToPaddock_AmountSeparated_Method2</f>
        <v>0.2</v>
      </c>
      <c r="R165" s="16"/>
    </row>
    <row r="166" spans="4:22" ht="20.100000000000001" customHeight="1" x14ac:dyDescent="0.25">
      <c r="D166" s="15" t="str">
        <f>INDEX(X_Table_Dairy_ProductionSystems_Method1,4,1)</f>
        <v>Feed pad</v>
      </c>
      <c r="E166" s="15" t="str">
        <f>INDEX(X_Table_Dairy_Stage1MMS_2_AnaerobicLagoon,2,1)</f>
        <v>Anaerobic lagoon</v>
      </c>
      <c r="F166" s="15">
        <f>X_Cell_Dairy_Stage1MMS_2_AnaerobicLagoon_AmountSeparated_Method1</f>
        <v>0</v>
      </c>
      <c r="G166" s="16"/>
      <c r="O166" s="15" t="str">
        <f>INDEX(X_Table_Dairy_ProductionSystems_Method1,4,1)</f>
        <v>Feed pad</v>
      </c>
      <c r="P166" s="15" t="str">
        <f>INDEX(X_Table_Dairy_Stage1MMS_2_AnaerobicLagoon,2,1)</f>
        <v>Anaerobic lagoon</v>
      </c>
      <c r="Q166" s="15">
        <f>X_Cell_Dairy_Stage1MMS_2_AnaerobicLagoon_AmountSeparated_Method2</f>
        <v>0</v>
      </c>
      <c r="R166" s="16"/>
    </row>
    <row r="167" spans="4:22" ht="20.100000000000001" customHeight="1" x14ac:dyDescent="0.25">
      <c r="D167" s="15" t="str">
        <f>INDEX(X_Table_Dairy_ProductionSystems_Method1,4,1)</f>
        <v>Feed pad</v>
      </c>
      <c r="E167" s="15" t="str">
        <f>INDEX(X_Table_Dairy_Stage1MMS_2_SumpAndDispersal,2,1)</f>
        <v>Sump and dispersal system</v>
      </c>
      <c r="F167" s="15">
        <f>X_Cell_Dairy_Stage1MMS_2_SumpAndDispersal_AmountSeparated_Method1</f>
        <v>0.2</v>
      </c>
      <c r="G167" s="16"/>
      <c r="O167" s="15" t="str">
        <f>INDEX(X_Table_Dairy_ProductionSystems_Method1,4,1)</f>
        <v>Feed pad</v>
      </c>
      <c r="P167" s="15" t="str">
        <f>INDEX(X_Table_Dairy_Stage1MMS_2_SumpAndDispersal,2,1)</f>
        <v>Sump and dispersal system</v>
      </c>
      <c r="Q167" s="15">
        <f>X_Cell_Dairy_Stage1MMS_2_SumpAndDispersal_AmountSeparated_Method2</f>
        <v>0.2</v>
      </c>
      <c r="R167" s="16"/>
    </row>
    <row r="168" spans="4:22" ht="20.100000000000001" customHeight="1" x14ac:dyDescent="0.25">
      <c r="D168" s="15" t="str">
        <f>INDEX(X_Table_Dairy_ProductionSystems_Method1,4,1)</f>
        <v>Feed pad</v>
      </c>
      <c r="E168" s="15" t="str">
        <f>INDEX(X_Table_Dairy_Stage1MMS_2_DrainsToPaddock,2,1)</f>
        <v>Drains to paddock</v>
      </c>
      <c r="F168" s="15">
        <f>X_Cell_Dairy_Stage1MMS_2_DrainsToPaddock_AmountSeparated_Method1</f>
        <v>0.2</v>
      </c>
      <c r="G168" s="16"/>
      <c r="O168" s="15" t="str">
        <f>INDEX(X_Table_Dairy_ProductionSystems_Method1,4,1)</f>
        <v>Feed pad</v>
      </c>
      <c r="P168" s="15" t="str">
        <f>INDEX(X_Table_Dairy_Stage1MMS_2_DrainsToPaddock,2,1)</f>
        <v>Drains to paddock</v>
      </c>
      <c r="Q168" s="15">
        <f>X_Cell_Dairy_Stage1MMS_2_DrainsToPaddock_AmountSeparated_Method2</f>
        <v>0.2</v>
      </c>
      <c r="R168" s="16"/>
    </row>
    <row r="169" spans="4:22" ht="20.100000000000001" customHeight="1" x14ac:dyDescent="0.25"/>
    <row r="170" spans="4:22" ht="20.100000000000001" customHeight="1" x14ac:dyDescent="0.25">
      <c r="D170" s="121" t="s">
        <v>394</v>
      </c>
      <c r="O170" s="121" t="s">
        <v>394</v>
      </c>
    </row>
    <row r="171" spans="4:22" ht="20.100000000000001" customHeight="1" x14ac:dyDescent="0.25">
      <c r="D171" s="122" t="s">
        <v>395</v>
      </c>
      <c r="O171" s="122" t="s">
        <v>396</v>
      </c>
    </row>
    <row r="172" spans="4:22" ht="20.100000000000001" customHeight="1" x14ac:dyDescent="0.25">
      <c r="D172" s="123" t="s">
        <v>161</v>
      </c>
      <c r="E172" s="123" t="s">
        <v>388</v>
      </c>
      <c r="F172" s="123" t="s">
        <v>295</v>
      </c>
      <c r="G172" s="123" t="s">
        <v>296</v>
      </c>
      <c r="H172" s="123" t="s">
        <v>297</v>
      </c>
      <c r="I172" s="123" t="s">
        <v>298</v>
      </c>
      <c r="J172" s="123" t="s">
        <v>299</v>
      </c>
      <c r="O172" s="123" t="s">
        <v>161</v>
      </c>
      <c r="P172" s="123" t="s">
        <v>388</v>
      </c>
      <c r="Q172" s="123" t="s">
        <v>295</v>
      </c>
      <c r="R172" s="123" t="s">
        <v>296</v>
      </c>
      <c r="S172" s="123" t="s">
        <v>297</v>
      </c>
      <c r="T172" s="123" t="s">
        <v>298</v>
      </c>
      <c r="U172" s="123" t="s">
        <v>299</v>
      </c>
    </row>
    <row r="173" spans="4:22" ht="20.100000000000001" customHeight="1" x14ac:dyDescent="0.25">
      <c r="D173" s="15" t="str">
        <f>INDEX(X_Table_Dairy_ProductionSystems_Method1,2,1)</f>
        <v>Pasture</v>
      </c>
      <c r="E173" s="15" t="str">
        <f>'Constants - Common Livestock'!$E$27</f>
        <v>Pasture range and paddock</v>
      </c>
      <c r="F173" s="15" cm="1">
        <f t="array" aca="1" ref="F173" ca="1">MMS_Dairy_Methane_Equations.VEERG_4_3_1_1__4_FractionVolatileSolidsNotSolidStorage(F151,$F162)</f>
        <v>0.53400000000000003</v>
      </c>
      <c r="G173" s="15" cm="1">
        <f t="array" aca="1" ref="G173" ca="1">MMS_Dairy_Methane_Equations.VEERG_4_3_1_1__4_FractionVolatileSolidsNotSolidStorage(G151,$F162)</f>
        <v>0.53400000000000003</v>
      </c>
      <c r="H173" s="15" cm="1">
        <f t="array" aca="1" ref="H173" ca="1">MMS_Dairy_Methane_Equations.VEERG_4_3_1_1__4_FractionVolatileSolidsNotSolidStorage(H151,$F162)</f>
        <v>0.53400000000000003</v>
      </c>
      <c r="I173" s="15" cm="1">
        <f t="array" aca="1" ref="I173" ca="1">MMS_Dairy_Methane_Equations.VEERG_4_3_1_1__4_FractionVolatileSolidsNotSolidStorage(I151,$F162)</f>
        <v>0.53400000000000003</v>
      </c>
      <c r="J173" s="15" cm="1">
        <f t="array" aca="1" ref="J173" ca="1">MMS_Dairy_Methane_Equations.VEERG_4_3_1_1__4_FractionVolatileSolidsNotSolidStorage(J151,$F162)</f>
        <v>0.53400000000000003</v>
      </c>
      <c r="K173" s="16" t="str">
        <f>$E$143</f>
        <v>fraction</v>
      </c>
      <c r="O173" s="15" t="str">
        <f>INDEX(X_Table_Dairy_ProductionSystems_Method1,2,1)</f>
        <v>Pasture</v>
      </c>
      <c r="P173" s="15" t="str">
        <f>'Constants - Common Livestock'!$E$27</f>
        <v>Pasture range and paddock</v>
      </c>
      <c r="Q173" s="15" cm="1">
        <f t="array" aca="1" ref="Q173" ca="1">MMS_Dairy_Methane_Equations.VEERG_4_3_1_1__4_FractionVolatileSolidsNotSolidStorage(Q151,$Q162)</f>
        <v>0.53400000000000003</v>
      </c>
      <c r="R173" s="15" cm="1">
        <f t="array" aca="1" ref="R173" ca="1">MMS_Dairy_Methane_Equations.VEERG_4_3_1_1__4_FractionVolatileSolidsNotSolidStorage(R151,$Q162)</f>
        <v>0.53400000000000003</v>
      </c>
      <c r="S173" s="15" cm="1">
        <f t="array" aca="1" ref="S173" ca="1">MMS_Dairy_Methane_Equations.VEERG_4_3_1_1__4_FractionVolatileSolidsNotSolidStorage(S151,$Q162)</f>
        <v>0.53400000000000003</v>
      </c>
      <c r="T173" s="15" cm="1">
        <f t="array" aca="1" ref="T173" ca="1">MMS_Dairy_Methane_Equations.VEERG_4_3_1_1__4_FractionVolatileSolidsNotSolidStorage(T151,$Q162)</f>
        <v>0.53400000000000003</v>
      </c>
      <c r="U173" s="15" cm="1">
        <f t="array" aca="1" ref="U173" ca="1">MMS_Dairy_Methane_Equations.VEERG_4_3_1_1__4_FractionVolatileSolidsNotSolidStorage(U151,$Q162)</f>
        <v>0.53400000000000003</v>
      </c>
      <c r="V173" s="16" t="str">
        <f>$E$143</f>
        <v>fraction</v>
      </c>
    </row>
    <row r="174" spans="4:22" ht="20.100000000000001" customHeight="1" x14ac:dyDescent="0.25">
      <c r="D174" s="15" t="str">
        <f>INDEX(X_Table_Dairy_ProductionSystems_Method1,3,1)</f>
        <v>Milking shed</v>
      </c>
      <c r="E174" s="15" t="str">
        <f>INDEX(X_Table_Dairy_Stage1MMS_1_AnaerobicLagoon,2,1)</f>
        <v>Anaerobic lagoon</v>
      </c>
      <c r="F174" s="15" cm="1">
        <f t="array" aca="1" ref="F174" ca="1">MMS_Dairy_Methane_Equations.VEERG_4_3_1_1__4_FractionVolatileSolidsNotSolidStorage(F152,$F163)</f>
        <v>2.2000000000000002E-2</v>
      </c>
      <c r="G174" s="15" cm="1">
        <f t="array" aca="1" ref="G174" ca="1">MMS_Dairy_Methane_Equations.VEERG_4_3_1_1__4_FractionVolatileSolidsNotSolidStorage(G152,$F163)</f>
        <v>2.2000000000000002E-2</v>
      </c>
      <c r="H174" s="15" cm="1">
        <f t="array" aca="1" ref="H174" ca="1">MMS_Dairy_Methane_Equations.VEERG_4_3_1_1__4_FractionVolatileSolidsNotSolidStorage(H152,$F163)</f>
        <v>2.2000000000000002E-2</v>
      </c>
      <c r="I174" s="15" cm="1">
        <f t="array" aca="1" ref="I174" ca="1">MMS_Dairy_Methane_Equations.VEERG_4_3_1_1__4_FractionVolatileSolidsNotSolidStorage(I152,$F163)</f>
        <v>2.2000000000000002E-2</v>
      </c>
      <c r="J174" s="15" cm="1">
        <f t="array" aca="1" ref="J174" ca="1">MMS_Dairy_Methane_Equations.VEERG_4_3_1_1__4_FractionVolatileSolidsNotSolidStorage(J152,$F163)</f>
        <v>2.2000000000000002E-2</v>
      </c>
      <c r="O174" s="15" t="str">
        <f>INDEX(X_Table_Dairy_ProductionSystems_Method1,3,1)</f>
        <v>Milking shed</v>
      </c>
      <c r="P174" s="15" t="str">
        <f>INDEX(X_Table_Dairy_Stage1MMS_1_AnaerobicLagoon,2,1)</f>
        <v>Anaerobic lagoon</v>
      </c>
      <c r="Q174" s="15" cm="1">
        <f t="array" aca="1" ref="Q174" ca="1">MMS_Dairy_Methane_Equations.VEERG_4_3_1_1__4_FractionVolatileSolidsNotSolidStorage(Q152,$Q163)</f>
        <v>2.2000000000000002E-2</v>
      </c>
      <c r="R174" s="15" cm="1">
        <f t="array" aca="1" ref="R174" ca="1">MMS_Dairy_Methane_Equations.VEERG_4_3_1_1__4_FractionVolatileSolidsNotSolidStorage(R152,$Q163)</f>
        <v>2.2000000000000002E-2</v>
      </c>
      <c r="S174" s="15" cm="1">
        <f t="array" aca="1" ref="S174" ca="1">MMS_Dairy_Methane_Equations.VEERG_4_3_1_1__4_FractionVolatileSolidsNotSolidStorage(S152,$Q163)</f>
        <v>2.2000000000000002E-2</v>
      </c>
      <c r="T174" s="15" cm="1">
        <f t="array" aca="1" ref="T174" ca="1">MMS_Dairy_Methane_Equations.VEERG_4_3_1_1__4_FractionVolatileSolidsNotSolidStorage(T152,$Q163)</f>
        <v>2.2000000000000002E-2</v>
      </c>
      <c r="U174" s="15" cm="1">
        <f t="array" aca="1" ref="U174" ca="1">MMS_Dairy_Methane_Equations.VEERG_4_3_1_1__4_FractionVolatileSolidsNotSolidStorage(U152,$Q163)</f>
        <v>2.2000000000000002E-2</v>
      </c>
    </row>
    <row r="175" spans="4:22" ht="20.100000000000001" customHeight="1" x14ac:dyDescent="0.25">
      <c r="D175" s="15" t="str">
        <f>INDEX(X_Table_Dairy_ProductionSystems_Method1,3,1)</f>
        <v>Milking shed</v>
      </c>
      <c r="E175" s="15" t="str">
        <f>INDEX(X_Table_Dairy_Stage1MMS_1_SumpAndDispersal,2,1)</f>
        <v>Sump and dispersal system</v>
      </c>
      <c r="F175" s="15" cm="1">
        <f t="array" aca="1" ref="F175" ca="1">MMS_Dairy_Methane_Equations.VEERG_4_3_1_1__4_FractionVolatileSolidsNotSolidStorage(F153,$F164)</f>
        <v>2.2000000000000002E-2</v>
      </c>
      <c r="G175" s="15" cm="1">
        <f t="array" aca="1" ref="G175" ca="1">MMS_Dairy_Methane_Equations.VEERG_4_3_1_1__4_FractionVolatileSolidsNotSolidStorage(G153,$F164)</f>
        <v>2.2000000000000002E-2</v>
      </c>
      <c r="H175" s="15" cm="1">
        <f t="array" aca="1" ref="H175" ca="1">MMS_Dairy_Methane_Equations.VEERG_4_3_1_1__4_FractionVolatileSolidsNotSolidStorage(H153,$F164)</f>
        <v>2.2000000000000002E-2</v>
      </c>
      <c r="I175" s="15" cm="1">
        <f t="array" aca="1" ref="I175" ca="1">MMS_Dairy_Methane_Equations.VEERG_4_3_1_1__4_FractionVolatileSolidsNotSolidStorage(I153,$F164)</f>
        <v>2.2000000000000002E-2</v>
      </c>
      <c r="J175" s="15" cm="1">
        <f t="array" aca="1" ref="J175" ca="1">MMS_Dairy_Methane_Equations.VEERG_4_3_1_1__4_FractionVolatileSolidsNotSolidStorage(J153,$F164)</f>
        <v>2.2000000000000002E-2</v>
      </c>
      <c r="K175" s="16"/>
      <c r="O175" s="15" t="str">
        <f>INDEX(X_Table_Dairy_ProductionSystems_Method1,3,1)</f>
        <v>Milking shed</v>
      </c>
      <c r="P175" s="15" t="str">
        <f>INDEX(X_Table_Dairy_Stage1MMS_1_SumpAndDispersal,2,1)</f>
        <v>Sump and dispersal system</v>
      </c>
      <c r="Q175" s="15" cm="1">
        <f t="array" aca="1" ref="Q175" ca="1">MMS_Dairy_Methane_Equations.VEERG_4_3_1_1__4_FractionVolatileSolidsNotSolidStorage(Q153,$Q164)</f>
        <v>2.2000000000000002E-2</v>
      </c>
      <c r="R175" s="15" cm="1">
        <f t="array" aca="1" ref="R175" ca="1">MMS_Dairy_Methane_Equations.VEERG_4_3_1_1__4_FractionVolatileSolidsNotSolidStorage(R153,$Q164)</f>
        <v>2.2000000000000002E-2</v>
      </c>
      <c r="S175" s="15" cm="1">
        <f t="array" aca="1" ref="S175" ca="1">MMS_Dairy_Methane_Equations.VEERG_4_3_1_1__4_FractionVolatileSolidsNotSolidStorage(S153,$Q164)</f>
        <v>2.2000000000000002E-2</v>
      </c>
      <c r="T175" s="15" cm="1">
        <f t="array" aca="1" ref="T175" ca="1">MMS_Dairy_Methane_Equations.VEERG_4_3_1_1__4_FractionVolatileSolidsNotSolidStorage(T153,$Q164)</f>
        <v>2.2000000000000002E-2</v>
      </c>
      <c r="U175" s="15" cm="1">
        <f t="array" aca="1" ref="U175" ca="1">MMS_Dairy_Methane_Equations.VEERG_4_3_1_1__4_FractionVolatileSolidsNotSolidStorage(U153,$Q164)</f>
        <v>2.2000000000000002E-2</v>
      </c>
      <c r="V175" s="16"/>
    </row>
    <row r="176" spans="4:22" ht="20.100000000000001" customHeight="1" x14ac:dyDescent="0.25">
      <c r="D176" s="15" t="str">
        <f>INDEX(X_Table_Dairy_ProductionSystems_Method1,3,1)</f>
        <v>Milking shed</v>
      </c>
      <c r="E176" s="15" t="str">
        <f>INDEX(X_Table_Dairy_Stage1MMS_1_DrainsToPaddock,2,1)</f>
        <v>Drains to paddock</v>
      </c>
      <c r="F176" s="15" cm="1">
        <f t="array" aca="1" ref="F176" ca="1">MMS_Dairy_Methane_Equations.VEERG_4_3_1_1__4_FractionVolatileSolidsNotSolidStorage(F154,$F165)</f>
        <v>2.2000000000000002E-2</v>
      </c>
      <c r="G176" s="15" cm="1">
        <f t="array" aca="1" ref="G176" ca="1">MMS_Dairy_Methane_Equations.VEERG_4_3_1_1__4_FractionVolatileSolidsNotSolidStorage(G154,$F165)</f>
        <v>2.2000000000000002E-2</v>
      </c>
      <c r="H176" s="15" cm="1">
        <f t="array" aca="1" ref="H176" ca="1">MMS_Dairy_Methane_Equations.VEERG_4_3_1_1__4_FractionVolatileSolidsNotSolidStorage(H154,$F165)</f>
        <v>2.2000000000000002E-2</v>
      </c>
      <c r="I176" s="15" cm="1">
        <f t="array" aca="1" ref="I176" ca="1">MMS_Dairy_Methane_Equations.VEERG_4_3_1_1__4_FractionVolatileSolidsNotSolidStorage(I154,$F165)</f>
        <v>2.2000000000000002E-2</v>
      </c>
      <c r="J176" s="15" cm="1">
        <f t="array" aca="1" ref="J176" ca="1">MMS_Dairy_Methane_Equations.VEERG_4_3_1_1__4_FractionVolatileSolidsNotSolidStorage(J154,$F165)</f>
        <v>2.2000000000000002E-2</v>
      </c>
      <c r="K176" s="16"/>
      <c r="O176" s="15" t="str">
        <f>INDEX(X_Table_Dairy_ProductionSystems_Method1,3,1)</f>
        <v>Milking shed</v>
      </c>
      <c r="P176" s="15" t="str">
        <f>INDEX(X_Table_Dairy_Stage1MMS_1_DrainsToPaddock,2,1)</f>
        <v>Drains to paddock</v>
      </c>
      <c r="Q176" s="15" cm="1">
        <f t="array" aca="1" ref="Q176" ca="1">MMS_Dairy_Methane_Equations.VEERG_4_3_1_1__4_FractionVolatileSolidsNotSolidStorage(Q154,$Q165)</f>
        <v>2.2000000000000002E-2</v>
      </c>
      <c r="R176" s="15" cm="1">
        <f t="array" aca="1" ref="R176" ca="1">MMS_Dairy_Methane_Equations.VEERG_4_3_1_1__4_FractionVolatileSolidsNotSolidStorage(R154,$Q165)</f>
        <v>2.2000000000000002E-2</v>
      </c>
      <c r="S176" s="15" cm="1">
        <f t="array" aca="1" ref="S176" ca="1">MMS_Dairy_Methane_Equations.VEERG_4_3_1_1__4_FractionVolatileSolidsNotSolidStorage(S154,$Q165)</f>
        <v>2.2000000000000002E-2</v>
      </c>
      <c r="T176" s="15" cm="1">
        <f t="array" aca="1" ref="T176" ca="1">MMS_Dairy_Methane_Equations.VEERG_4_3_1_1__4_FractionVolatileSolidsNotSolidStorage(T154,$Q165)</f>
        <v>2.2000000000000002E-2</v>
      </c>
      <c r="U176" s="15" cm="1">
        <f t="array" aca="1" ref="U176" ca="1">MMS_Dairy_Methane_Equations.VEERG_4_3_1_1__4_FractionVolatileSolidsNotSolidStorage(U154,$Q165)</f>
        <v>2.2000000000000002E-2</v>
      </c>
      <c r="V176" s="16"/>
    </row>
    <row r="177" spans="1:23" ht="20.100000000000001" customHeight="1" x14ac:dyDescent="0.25">
      <c r="D177" s="15" t="str">
        <f>INDEX(X_Table_Dairy_ProductionSystems_Method1,4,1)</f>
        <v>Feed pad</v>
      </c>
      <c r="E177" s="15" t="str">
        <f>INDEX(X_Table_Dairy_Stage1MMS_2_AnaerobicLagoon,2,1)</f>
        <v>Anaerobic lagoon</v>
      </c>
      <c r="F177" s="15" cm="1">
        <f t="array" aca="1" ref="F177" ca="1">MMS_Dairy_Methane_Equations.VEERG_4_3_1_1__4_FractionVolatileSolidsNotSolidStorage(F155,$F166)</f>
        <v>8.8999999999999996E-2</v>
      </c>
      <c r="G177" s="15" cm="1">
        <f t="array" aca="1" ref="G177" ca="1">MMS_Dairy_Methane_Equations.VEERG_4_3_1_1__4_FractionVolatileSolidsNotSolidStorage(G155,$F166)</f>
        <v>8.8999999999999996E-2</v>
      </c>
      <c r="H177" s="15" cm="1">
        <f t="array" aca="1" ref="H177" ca="1">MMS_Dairy_Methane_Equations.VEERG_4_3_1_1__4_FractionVolatileSolidsNotSolidStorage(H155,$F166)</f>
        <v>8.8999999999999996E-2</v>
      </c>
      <c r="I177" s="15" cm="1">
        <f t="array" aca="1" ref="I177" ca="1">MMS_Dairy_Methane_Equations.VEERG_4_3_1_1__4_FractionVolatileSolidsNotSolidStorage(I155,$F166)</f>
        <v>8.8999999999999996E-2</v>
      </c>
      <c r="J177" s="15" cm="1">
        <f t="array" aca="1" ref="J177" ca="1">MMS_Dairy_Methane_Equations.VEERG_4_3_1_1__4_FractionVolatileSolidsNotSolidStorage(J155,$F166)</f>
        <v>8.8999999999999996E-2</v>
      </c>
      <c r="K177" s="16"/>
      <c r="O177" s="15" t="str">
        <f>INDEX(X_Table_Dairy_ProductionSystems_Method1,4,1)</f>
        <v>Feed pad</v>
      </c>
      <c r="P177" s="15" t="str">
        <f>INDEX(X_Table_Dairy_Stage1MMS_2_AnaerobicLagoon,2,1)</f>
        <v>Anaerobic lagoon</v>
      </c>
      <c r="Q177" s="15" cm="1">
        <f t="array" aca="1" ref="Q177" ca="1">MMS_Dairy_Methane_Equations.VEERG_4_3_1_1__4_FractionVolatileSolidsNotSolidStorage(Q155,$Q166)</f>
        <v>8.8999999999999996E-2</v>
      </c>
      <c r="R177" s="15" cm="1">
        <f t="array" aca="1" ref="R177" ca="1">MMS_Dairy_Methane_Equations.VEERG_4_3_1_1__4_FractionVolatileSolidsNotSolidStorage(R155,$Q166)</f>
        <v>8.8999999999999996E-2</v>
      </c>
      <c r="S177" s="15" cm="1">
        <f t="array" aca="1" ref="S177" ca="1">MMS_Dairy_Methane_Equations.VEERG_4_3_1_1__4_FractionVolatileSolidsNotSolidStorage(S155,$Q166)</f>
        <v>8.8999999999999996E-2</v>
      </c>
      <c r="T177" s="15" cm="1">
        <f t="array" aca="1" ref="T177" ca="1">MMS_Dairy_Methane_Equations.VEERG_4_3_1_1__4_FractionVolatileSolidsNotSolidStorage(T155,$Q166)</f>
        <v>8.8999999999999996E-2</v>
      </c>
      <c r="U177" s="15" cm="1">
        <f t="array" aca="1" ref="U177" ca="1">MMS_Dairy_Methane_Equations.VEERG_4_3_1_1__4_FractionVolatileSolidsNotSolidStorage(U155,$Q166)</f>
        <v>8.8999999999999996E-2</v>
      </c>
      <c r="V177" s="16"/>
    </row>
    <row r="178" spans="1:23" ht="20.100000000000001" customHeight="1" x14ac:dyDescent="0.25">
      <c r="A178" s="128" t="str">
        <f>HYPERLINK("#A1", "▲ Back to top")</f>
        <v>▲ Back to top</v>
      </c>
      <c r="D178" s="15" t="str">
        <f>INDEX(X_Table_Dairy_ProductionSystems_Method1,4,1)</f>
        <v>Feed pad</v>
      </c>
      <c r="E178" s="15" t="str">
        <f>INDEX(X_Table_Dairy_Stage1MMS_2_SumpAndDispersal,2,1)</f>
        <v>Sump and dispersal system</v>
      </c>
      <c r="F178" s="15" cm="1">
        <f t="array" aca="1" ref="F178" ca="1">MMS_Dairy_Methane_Equations.VEERG_4_3_1_1__4_FractionVolatileSolidsNotSolidStorage(F156,$F167)</f>
        <v>7.1199999999999999E-2</v>
      </c>
      <c r="G178" s="15" cm="1">
        <f t="array" aca="1" ref="G178" ca="1">MMS_Dairy_Methane_Equations.VEERG_4_3_1_1__4_FractionVolatileSolidsNotSolidStorage(G156,$F167)</f>
        <v>7.1199999999999999E-2</v>
      </c>
      <c r="H178" s="15" cm="1">
        <f t="array" aca="1" ref="H178" ca="1">MMS_Dairy_Methane_Equations.VEERG_4_3_1_1__4_FractionVolatileSolidsNotSolidStorage(H156,$F167)</f>
        <v>7.1199999999999999E-2</v>
      </c>
      <c r="I178" s="15" cm="1">
        <f t="array" aca="1" ref="I178" ca="1">MMS_Dairy_Methane_Equations.VEERG_4_3_1_1__4_FractionVolatileSolidsNotSolidStorage(I156,$F167)</f>
        <v>7.1199999999999999E-2</v>
      </c>
      <c r="J178" s="15" cm="1">
        <f t="array" aca="1" ref="J178" ca="1">MMS_Dairy_Methane_Equations.VEERG_4_3_1_1__4_FractionVolatileSolidsNotSolidStorage(J156,$F167)</f>
        <v>7.1199999999999999E-2</v>
      </c>
      <c r="K178" s="16"/>
      <c r="O178" s="15" t="str">
        <f>INDEX(X_Table_Dairy_ProductionSystems_Method1,4,1)</f>
        <v>Feed pad</v>
      </c>
      <c r="P178" s="15" t="str">
        <f>INDEX(X_Table_Dairy_Stage1MMS_2_SumpAndDispersal,2,1)</f>
        <v>Sump and dispersal system</v>
      </c>
      <c r="Q178" s="15" cm="1">
        <f t="array" aca="1" ref="Q178" ca="1">MMS_Dairy_Methane_Equations.VEERG_4_3_1_1__4_FractionVolatileSolidsNotSolidStorage(Q156,$Q167)</f>
        <v>7.1199999999999999E-2</v>
      </c>
      <c r="R178" s="15" cm="1">
        <f t="array" aca="1" ref="R178" ca="1">MMS_Dairy_Methane_Equations.VEERG_4_3_1_1__4_FractionVolatileSolidsNotSolidStorage(R156,$Q167)</f>
        <v>7.1199999999999999E-2</v>
      </c>
      <c r="S178" s="15" cm="1">
        <f t="array" aca="1" ref="S178" ca="1">MMS_Dairy_Methane_Equations.VEERG_4_3_1_1__4_FractionVolatileSolidsNotSolidStorage(S156,$Q167)</f>
        <v>7.1199999999999999E-2</v>
      </c>
      <c r="T178" s="15" cm="1">
        <f t="array" aca="1" ref="T178" ca="1">MMS_Dairy_Methane_Equations.VEERG_4_3_1_1__4_FractionVolatileSolidsNotSolidStorage(T156,$Q167)</f>
        <v>7.1199999999999999E-2</v>
      </c>
      <c r="U178" s="15" cm="1">
        <f t="array" aca="1" ref="U178" ca="1">MMS_Dairy_Methane_Equations.VEERG_4_3_1_1__4_FractionVolatileSolidsNotSolidStorage(U156,$Q167)</f>
        <v>7.1199999999999999E-2</v>
      </c>
      <c r="V178" s="16"/>
    </row>
    <row r="179" spans="1:23" ht="20.100000000000001" customHeight="1" x14ac:dyDescent="0.25">
      <c r="D179" s="15" t="str">
        <f>INDEX(X_Table_Dairy_ProductionSystems_Method1,4,1)</f>
        <v>Feed pad</v>
      </c>
      <c r="E179" s="15" t="str">
        <f>INDEX(X_Table_Dairy_Stage1MMS_2_DrainsToPaddock,2,1)</f>
        <v>Drains to paddock</v>
      </c>
      <c r="F179" s="15" cm="1">
        <f t="array" aca="1" ref="F179" ca="1">MMS_Dairy_Methane_Equations.VEERG_4_3_1_1__4_FractionVolatileSolidsNotSolidStorage(F157,$F168)</f>
        <v>7.1199999999999999E-2</v>
      </c>
      <c r="G179" s="15" cm="1">
        <f t="array" aca="1" ref="G179" ca="1">MMS_Dairy_Methane_Equations.VEERG_4_3_1_1__4_FractionVolatileSolidsNotSolidStorage(G157,$F168)</f>
        <v>7.1199999999999999E-2</v>
      </c>
      <c r="H179" s="15" cm="1">
        <f t="array" aca="1" ref="H179" ca="1">MMS_Dairy_Methane_Equations.VEERG_4_3_1_1__4_FractionVolatileSolidsNotSolidStorage(H157,$F168)</f>
        <v>7.1199999999999999E-2</v>
      </c>
      <c r="I179" s="15" cm="1">
        <f t="array" aca="1" ref="I179" ca="1">MMS_Dairy_Methane_Equations.VEERG_4_3_1_1__4_FractionVolatileSolidsNotSolidStorage(I157,$F168)</f>
        <v>7.1199999999999999E-2</v>
      </c>
      <c r="J179" s="15" cm="1">
        <f t="array" aca="1" ref="J179" ca="1">MMS_Dairy_Methane_Equations.VEERG_4_3_1_1__4_FractionVolatileSolidsNotSolidStorage(J157,$F168)</f>
        <v>7.1199999999999999E-2</v>
      </c>
      <c r="K179" s="16"/>
      <c r="O179" s="15" t="str">
        <f>INDEX(X_Table_Dairy_ProductionSystems_Method1,4,1)</f>
        <v>Feed pad</v>
      </c>
      <c r="P179" s="15" t="str">
        <f>INDEX(X_Table_Dairy_Stage1MMS_2_DrainsToPaddock,2,1)</f>
        <v>Drains to paddock</v>
      </c>
      <c r="Q179" s="15" cm="1">
        <f t="array" aca="1" ref="Q179" ca="1">MMS_Dairy_Methane_Equations.VEERG_4_3_1_1__4_FractionVolatileSolidsNotSolidStorage(Q157,$Q168)</f>
        <v>7.1199999999999999E-2</v>
      </c>
      <c r="R179" s="15" cm="1">
        <f t="array" aca="1" ref="R179" ca="1">MMS_Dairy_Methane_Equations.VEERG_4_3_1_1__4_FractionVolatileSolidsNotSolidStorage(R157,$Q168)</f>
        <v>7.1199999999999999E-2</v>
      </c>
      <c r="S179" s="15" cm="1">
        <f t="array" aca="1" ref="S179" ca="1">MMS_Dairy_Methane_Equations.VEERG_4_3_1_1__4_FractionVolatileSolidsNotSolidStorage(S157,$Q168)</f>
        <v>7.1199999999999999E-2</v>
      </c>
      <c r="T179" s="15" cm="1">
        <f t="array" aca="1" ref="T179" ca="1">MMS_Dairy_Methane_Equations.VEERG_4_3_1_1__4_FractionVolatileSolidsNotSolidStorage(T157,$Q168)</f>
        <v>7.1199999999999999E-2</v>
      </c>
      <c r="U179" s="15" cm="1">
        <f t="array" aca="1" ref="U179" ca="1">MMS_Dairy_Methane_Equations.VEERG_4_3_1_1__4_FractionVolatileSolidsNotSolidStorage(U157,$Q168)</f>
        <v>7.1199999999999999E-2</v>
      </c>
      <c r="V179" s="16"/>
    </row>
    <row r="180" spans="1:23" ht="20.100000000000001" customHeight="1" x14ac:dyDescent="0.25"/>
    <row r="181" spans="1:23" ht="20.100000000000001" customHeight="1" x14ac:dyDescent="0.25"/>
    <row r="182" spans="1:23" ht="20.100000000000001" customHeight="1" x14ac:dyDescent="0.25">
      <c r="C182" s="89"/>
      <c r="D182" s="89"/>
      <c r="E182" s="89"/>
      <c r="F182" s="89"/>
      <c r="G182" s="89"/>
      <c r="H182" s="89"/>
      <c r="I182" s="89"/>
      <c r="J182" s="89"/>
      <c r="K182" s="89"/>
      <c r="L182" s="89"/>
      <c r="N182" s="89"/>
      <c r="O182" s="89"/>
      <c r="P182" s="89"/>
      <c r="Q182" s="89"/>
      <c r="R182" s="89"/>
      <c r="S182" s="89"/>
      <c r="T182" s="89"/>
      <c r="U182" s="89"/>
      <c r="V182" s="89"/>
      <c r="W182" s="89"/>
    </row>
    <row r="183" spans="1:23" ht="20.100000000000001" customHeight="1" x14ac:dyDescent="0.25">
      <c r="D183" s="2" t="str" cm="1">
        <f t="array" ref="D183">MMS_Dairy_Methane_Equations.VEERG_4_3_1_1__5_FractionVolatileSolidsSolidStorage_Title()</f>
        <v>Fraction of volatile solids in solid storage</v>
      </c>
    </row>
    <row r="184" spans="1:23" ht="20.100000000000001" customHeight="1" x14ac:dyDescent="0.25">
      <c r="D184" s="17" t="str" cm="1">
        <f t="array" ref="D184">MMS_Dairy_Methane_Equations.VEERG_4_3_1_1__5_FractionVolatileSolidsSolidStorage_Source()</f>
        <v>VEERG 2026: 4.3.1.1, Equation (5)</v>
      </c>
    </row>
    <row r="185" spans="1:23" ht="20.100000000000001" customHeight="1" x14ac:dyDescent="0.25">
      <c r="D185" s="25" t="str" cm="1">
        <f t="array" ref="D185">MMS_Dairy_Methane_Equations.VEERG_4_3_1_1__5_FractionVolatileSolidsSolidStorage_Variation()</f>
        <v>Used separate variables for MMS and SS m 1, 7 and 9.</v>
      </c>
    </row>
    <row r="186" spans="1:23" ht="20.100000000000001" customHeight="1" x14ac:dyDescent="0.25">
      <c r="D186" s="117" t="s">
        <v>343</v>
      </c>
      <c r="E186" s="117"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2"/>
    </row>
    <row r="189" spans="1:23" ht="20.100000000000001" customHeight="1" x14ac:dyDescent="0.25">
      <c r="D189" s="76" t="s">
        <v>344</v>
      </c>
      <c r="E189" s="1" t="str" cm="1">
        <f t="array" ref="E189">MMS_Dairy_Methane_Equations.VEERG_4_3_1_1__5_FractionVolatileSolidsSolidStorage_Variable()</f>
        <v>FVS_jm4</v>
      </c>
    </row>
    <row r="190" spans="1:23" ht="20.100000000000001" customHeight="1" x14ac:dyDescent="0.25">
      <c r="D190" s="76" t="s">
        <v>118</v>
      </c>
      <c r="E190" s="9" t="str" cm="1">
        <f t="array" ref="E190">MMS_Dairy_Methane_Equations.VEERG_4_3_1_1__5_FractionVolatileSolidsSolidStorage_Unit()</f>
        <v>fraction</v>
      </c>
    </row>
    <row r="191" spans="1:23" ht="20.100000000000001" customHeight="1" x14ac:dyDescent="0.25"/>
    <row r="192" spans="1:23" ht="20.100000000000001" customHeight="1" x14ac:dyDescent="0.25">
      <c r="D192" s="119" t="str" cm="1">
        <f t="array" ref="D192:E194">_xlfn.CHOOSECOLS(MMS_Dairy_Methane_Equations.VEERG_4_3_1_1__5_FractionVolatileSolidsSolidStorage_Arguments(),1,2)</f>
        <v>MMS_jm4</v>
      </c>
      <c r="E192" s="119" t="str">
        <v>fraction of volatile solids in solid storage before transfer</v>
      </c>
      <c r="F192" s="119"/>
      <c r="G192" s="119" t="str" cm="1">
        <f t="array" ref="G192:H194">_xlfn.CHOOSECOLS(MMS_Dairy_Methane_Equations.VEERG_4_3_1_1__5_FractionVolatileSolidsSolidStorage_Arguments(),3,4)</f>
        <v>fraction</v>
      </c>
      <c r="H192" s="120" t="str">
        <v>Input</v>
      </c>
      <c r="I192" s="126" t="str" cm="1">
        <f t="array" aca="1" ref="I192" ca="1">HYPERLINK(Common_InputFunctions.Utility_SourceHyperlink($D$196),$D$196)</f>
        <v>M1_Table_MMS_j_m-4</v>
      </c>
    </row>
    <row r="193" spans="4:22" ht="20.100000000000001" customHeight="1" x14ac:dyDescent="0.25">
      <c r="D193" s="119" t="str">
        <v>MMS_jm179</v>
      </c>
      <c r="E193" s="119" t="str">
        <v>fraction of volatile solids in MMS m=1,7,9 before transfer</v>
      </c>
      <c r="F193" s="119"/>
      <c r="G193" s="119" t="str">
        <v>fraction</v>
      </c>
      <c r="H193" s="120" t="str">
        <v>Input</v>
      </c>
      <c r="I193" s="126" t="str" cm="1">
        <f t="array" aca="1" ref="I193" ca="1">HYPERLINK(Common_InputFunctions.Utility_SourceHyperlink($D$148),$D$148)</f>
        <v>M1_Table_MMS_j_m</v>
      </c>
    </row>
    <row r="194" spans="4:22" ht="20.100000000000001" customHeight="1" x14ac:dyDescent="0.25">
      <c r="D194" s="119" t="str">
        <v>SS_m</v>
      </c>
      <c r="E194" s="119" t="str">
        <v>fraction of volatile solids separated to solid storage for each MMS</v>
      </c>
      <c r="F194" s="119"/>
      <c r="G194" s="119" t="str">
        <v>fraction</v>
      </c>
      <c r="H194" s="120" t="str">
        <v>Input</v>
      </c>
      <c r="I194" s="126" t="str" cm="1">
        <f t="array" aca="1" ref="I194" ca="1">HYPERLINK(Common_InputFunctions.Utility_SourceHyperlink($D$159),$D$159)</f>
        <v>M1_Table_SS_m</v>
      </c>
    </row>
    <row r="195" spans="4:22" ht="20.100000000000001" customHeight="1" x14ac:dyDescent="0.25"/>
    <row r="196" spans="4:22" ht="20.100000000000001" customHeight="1" x14ac:dyDescent="0.25">
      <c r="D196" s="121" t="s">
        <v>397</v>
      </c>
      <c r="O196" s="121" t="s">
        <v>398</v>
      </c>
    </row>
    <row r="197" spans="4:22" ht="20.100000000000001" customHeight="1" x14ac:dyDescent="0.25">
      <c r="D197" s="122" t="s">
        <v>399</v>
      </c>
      <c r="O197" s="122" t="s">
        <v>400</v>
      </c>
    </row>
    <row r="198" spans="4:22" ht="20.100000000000001" customHeight="1" x14ac:dyDescent="0.25">
      <c r="D198" s="81" t="s">
        <v>161</v>
      </c>
      <c r="E198" s="81" t="s">
        <v>388</v>
      </c>
      <c r="F198" s="81" t="s">
        <v>295</v>
      </c>
      <c r="G198" s="81" t="s">
        <v>296</v>
      </c>
      <c r="H198" s="81" t="s">
        <v>297</v>
      </c>
      <c r="I198" s="81" t="s">
        <v>298</v>
      </c>
      <c r="J198" s="81" t="s">
        <v>299</v>
      </c>
      <c r="O198" s="81" t="s">
        <v>161</v>
      </c>
      <c r="P198" s="81" t="s">
        <v>388</v>
      </c>
      <c r="Q198" s="81" t="s">
        <v>295</v>
      </c>
      <c r="R198" s="81" t="s">
        <v>296</v>
      </c>
      <c r="S198" s="81" t="s">
        <v>297</v>
      </c>
      <c r="T198" s="81" t="s">
        <v>298</v>
      </c>
      <c r="U198" s="81" t="s">
        <v>299</v>
      </c>
    </row>
    <row r="199" spans="4:22" ht="20.100000000000001" customHeight="1" x14ac:dyDescent="0.25">
      <c r="D199" s="15" t="str">
        <f>INDEX(X_Table_Dairy_ProductionSystems_Method1,3,1)</f>
        <v>Milking shed</v>
      </c>
      <c r="E199" s="15" t="str">
        <f>INDEX(X_Table_Dairy_Stage1MMS_1_SolidStorage,2,1)</f>
        <v>Solid storage (before solid separation)</v>
      </c>
      <c r="F199" s="15" cm="1">
        <f t="array" aca="1" ref="F199:J199" ca="1">OFFSET(X_Table_Dairy_ProductionSystems_Method1, 2,1,1,5)*OFFSET(X_Table_Dairy_Stage1MMS_1_SolidStorage, 1,1,1,5)</f>
        <v>2.75E-2</v>
      </c>
      <c r="G199" s="15">
        <f ca="1"/>
        <v>2.75E-2</v>
      </c>
      <c r="H199" s="15">
        <f ca="1"/>
        <v>2.75E-2</v>
      </c>
      <c r="I199" s="15">
        <f ca="1"/>
        <v>2.75E-2</v>
      </c>
      <c r="J199" s="15">
        <f ca="1"/>
        <v>2.75E-2</v>
      </c>
      <c r="K199" s="16" t="s">
        <v>311</v>
      </c>
      <c r="O199" s="15" t="str">
        <f>INDEX(X_Table_Dairy_ProductionSystems_Method1,3,1)</f>
        <v>Milking shed</v>
      </c>
      <c r="P199" s="15" t="str">
        <f>INDEX(X_Table_Dairy_Stage1MMS_1_SolidStorage,2,1)</f>
        <v>Solid storage (before solid separation)</v>
      </c>
      <c r="Q199" s="15" cm="1">
        <f t="array" aca="1" ref="Q199:U199" ca="1">OFFSET(X_Table_Dairy_ProductionSystems_Method2, 2,1,1,5)*OFFSET(X_Table_Dairy_Stage1MMS_1_SolidStorage, 1,1,1,5)</f>
        <v>2.75E-2</v>
      </c>
      <c r="R199" s="15">
        <f ca="1"/>
        <v>2.75E-2</v>
      </c>
      <c r="S199" s="15">
        <f ca="1"/>
        <v>2.75E-2</v>
      </c>
      <c r="T199" s="15">
        <f ca="1"/>
        <v>2.75E-2</v>
      </c>
      <c r="U199" s="15">
        <f ca="1"/>
        <v>2.75E-2</v>
      </c>
      <c r="V199" s="16" t="s">
        <v>311</v>
      </c>
    </row>
    <row r="200" spans="4:22" ht="20.100000000000001" customHeight="1" x14ac:dyDescent="0.25">
      <c r="D200" s="15" t="str">
        <f>INDEX(X_Table_Dairy_ProductionSystems_Method1,4,1)</f>
        <v>Feed pad</v>
      </c>
      <c r="E200" s="15" t="str">
        <f>INDEX(X_Table_Dairy_Stage1MMS_2_SolidStorage,2,1)</f>
        <v>Solid storage (before solid separation)</v>
      </c>
      <c r="F200" s="15" cm="1">
        <f t="array" aca="1" ref="F200:J200" ca="1">OFFSET(X_Table_Dairy_ProductionSystems_Method1, 3,1,1,5)*OFFSET(X_Table_Dairy_Stage1MMS_1_SolidStorage, 1,1,1,5)</f>
        <v>8.8999999999999996E-2</v>
      </c>
      <c r="G200" s="15">
        <f ca="1"/>
        <v>8.8999999999999996E-2</v>
      </c>
      <c r="H200" s="15">
        <f ca="1"/>
        <v>8.8999999999999996E-2</v>
      </c>
      <c r="I200" s="15">
        <f ca="1"/>
        <v>8.8999999999999996E-2</v>
      </c>
      <c r="J200" s="15">
        <f ca="1"/>
        <v>8.8999999999999996E-2</v>
      </c>
      <c r="K200" s="16" t="s">
        <v>311</v>
      </c>
      <c r="O200" s="15" t="str">
        <f>INDEX(X_Table_Dairy_ProductionSystems_Method1,4,1)</f>
        <v>Feed pad</v>
      </c>
      <c r="P200" s="15" t="str">
        <f>INDEX(X_Table_Dairy_Stage1MMS_2_SolidStorage,2,1)</f>
        <v>Solid storage (before solid separation)</v>
      </c>
      <c r="Q200" s="15" cm="1">
        <f t="array" aca="1" ref="Q200:U200" ca="1">OFFSET(X_Table_Dairy_ProductionSystems_Method2, 3,1,1,5)*OFFSET(X_Table_Dairy_Stage1MMS_1_SolidStorage, 1,1,1,5)</f>
        <v>8.8999999999999996E-2</v>
      </c>
      <c r="R200" s="15">
        <f ca="1"/>
        <v>8.8999999999999996E-2</v>
      </c>
      <c r="S200" s="15">
        <f ca="1"/>
        <v>8.8999999999999996E-2</v>
      </c>
      <c r="T200" s="15">
        <f ca="1"/>
        <v>8.8999999999999996E-2</v>
      </c>
      <c r="U200" s="15">
        <f ca="1"/>
        <v>8.8999999999999996E-2</v>
      </c>
      <c r="V200" s="16" t="s">
        <v>311</v>
      </c>
    </row>
    <row r="201" spans="4:22" ht="20.100000000000001" customHeight="1" x14ac:dyDescent="0.25"/>
    <row r="202" spans="4:22" ht="20.100000000000001" customHeight="1" x14ac:dyDescent="0.25">
      <c r="D202" s="121" t="s">
        <v>401</v>
      </c>
      <c r="O202" s="121" t="s">
        <v>402</v>
      </c>
    </row>
    <row r="203" spans="4:22" ht="20.100000000000001" customHeight="1" x14ac:dyDescent="0.25">
      <c r="D203" s="122" t="s">
        <v>403</v>
      </c>
      <c r="O203" s="122" t="s">
        <v>404</v>
      </c>
    </row>
    <row r="204" spans="4:22" ht="20.100000000000001" customHeight="1" x14ac:dyDescent="0.25">
      <c r="D204" s="123" t="s">
        <v>161</v>
      </c>
      <c r="E204" s="123" t="s">
        <v>388</v>
      </c>
      <c r="F204" s="123" t="s">
        <v>295</v>
      </c>
      <c r="G204" s="123" t="s">
        <v>296</v>
      </c>
      <c r="H204" s="123" t="s">
        <v>297</v>
      </c>
      <c r="I204" s="123" t="s">
        <v>298</v>
      </c>
      <c r="J204" s="123" t="s">
        <v>299</v>
      </c>
      <c r="O204" s="123" t="s">
        <v>161</v>
      </c>
      <c r="P204" s="123" t="s">
        <v>388</v>
      </c>
      <c r="Q204" s="123" t="s">
        <v>295</v>
      </c>
      <c r="R204" s="123" t="s">
        <v>296</v>
      </c>
      <c r="S204" s="123" t="s">
        <v>297</v>
      </c>
      <c r="T204" s="123" t="s">
        <v>298</v>
      </c>
      <c r="U204" s="123" t="s">
        <v>299</v>
      </c>
    </row>
    <row r="205" spans="4:22" ht="20.100000000000001" customHeight="1" x14ac:dyDescent="0.25">
      <c r="D205" s="15" t="str">
        <f>INDEX(X_Table_Dairy_ProductionSystems_Method1,3,1)</f>
        <v>Milking shed</v>
      </c>
      <c r="E205" s="15" t="s">
        <v>75</v>
      </c>
      <c r="F205" s="15" cm="1">
        <f t="array" aca="1" ref="F205" ca="1">MMS_Dairy_Methane_Equations.VEERG_4_3_1_1__5_FractionVolatileSolidsSolidStorageVariation(F199,F152,$F163,F153,$F164,F154,$F165)</f>
        <v>4.3999999999999997E-2</v>
      </c>
      <c r="G205" s="15" cm="1">
        <f t="array" aca="1" ref="G205" ca="1">MMS_Dairy_Methane_Equations.VEERG_4_3_1_1__5_FractionVolatileSolidsSolidStorageVariation(G199,G152,$F163,G153,$F164,G154,$F165)</f>
        <v>4.3999999999999997E-2</v>
      </c>
      <c r="H205" s="15" cm="1">
        <f t="array" aca="1" ref="H205" ca="1">MMS_Dairy_Methane_Equations.VEERG_4_3_1_1__5_FractionVolatileSolidsSolidStorageVariation(H199,H152,$F163,H153,$F164,H154,$F165)</f>
        <v>4.3999999999999997E-2</v>
      </c>
      <c r="I205" s="15" cm="1">
        <f t="array" aca="1" ref="I205" ca="1">MMS_Dairy_Methane_Equations.VEERG_4_3_1_1__5_FractionVolatileSolidsSolidStorageVariation(I199,I152,$F163,I153,$F164,I154,$F165)</f>
        <v>4.3999999999999997E-2</v>
      </c>
      <c r="J205" s="15" cm="1">
        <f t="array" aca="1" ref="J205" ca="1">MMS_Dairy_Methane_Equations.VEERG_4_3_1_1__5_FractionVolatileSolidsSolidStorageVariation(J199,J152,$F163,J153,$F164,J154,$F165)</f>
        <v>4.3999999999999997E-2</v>
      </c>
      <c r="K205" s="16" t="str">
        <f>$E$190</f>
        <v>fraction</v>
      </c>
      <c r="O205" s="15" t="str">
        <f>INDEX(X_Table_Dairy_ProductionSystems_Method1,3,1)</f>
        <v>Milking shed</v>
      </c>
      <c r="P205" s="15" t="s">
        <v>75</v>
      </c>
      <c r="Q205" s="15" cm="1">
        <f t="array" aca="1" ref="Q205" ca="1">MMS_Dairy_Methane_Equations.VEERG_4_3_1_1__5_FractionVolatileSolidsSolidStorageVariation(Q199,Q152,$Q163,Q153,$Q164,Q154,$Q165)</f>
        <v>4.3999999999999997E-2</v>
      </c>
      <c r="R205" s="15" cm="1">
        <f t="array" aca="1" ref="R205" ca="1">MMS_Dairy_Methane_Equations.VEERG_4_3_1_1__5_FractionVolatileSolidsSolidStorageVariation(R199,R152,$Q163,R153,$Q164,R154,$Q165)</f>
        <v>4.3999999999999997E-2</v>
      </c>
      <c r="S205" s="15" cm="1">
        <f t="array" aca="1" ref="S205" ca="1">MMS_Dairy_Methane_Equations.VEERG_4_3_1_1__5_FractionVolatileSolidsSolidStorageVariation(S199,S152,$Q163,S153,$Q164,S154,$Q165)</f>
        <v>4.3999999999999997E-2</v>
      </c>
      <c r="T205" s="15" cm="1">
        <f t="array" aca="1" ref="T205" ca="1">MMS_Dairy_Methane_Equations.VEERG_4_3_1_1__5_FractionVolatileSolidsSolidStorageVariation(T199,T152,$Q163,T153,$Q164,T154,$Q165)</f>
        <v>4.3999999999999997E-2</v>
      </c>
      <c r="U205" s="15" cm="1">
        <f t="array" aca="1" ref="U205" ca="1">MMS_Dairy_Methane_Equations.VEERG_4_3_1_1__5_FractionVolatileSolidsSolidStorageVariation(U199,U152,$Q163,U153,$Q164,U154,$Q165)</f>
        <v>4.3999999999999997E-2</v>
      </c>
      <c r="V205" s="16" t="str">
        <f>$E$190</f>
        <v>fraction</v>
      </c>
    </row>
    <row r="206" spans="4:22" ht="20.100000000000001" customHeight="1" x14ac:dyDescent="0.25">
      <c r="D206" s="15" t="str">
        <f>INDEX(X_Table_Dairy_ProductionSystems_Method1,4,1)</f>
        <v>Feed pad</v>
      </c>
      <c r="E206" s="15" t="s">
        <v>75</v>
      </c>
      <c r="F206" s="15" cm="1">
        <f t="array" aca="1" ref="F206" ca="1">MMS_Dairy_Methane_Equations.VEERG_4_3_1_1__5_FractionVolatileSolidsSolidStorageVariation(F200,F155,$F166,F156,$F167,F157,$F168)</f>
        <v>0.12459999999999999</v>
      </c>
      <c r="G206" s="15" cm="1">
        <f t="array" aca="1" ref="G206" ca="1">MMS_Dairy_Methane_Equations.VEERG_4_3_1_1__5_FractionVolatileSolidsSolidStorageVariation(G200,G155,$F166,G156,$F167,G157,$F168)</f>
        <v>0.12459999999999999</v>
      </c>
      <c r="H206" s="15" cm="1">
        <f t="array" aca="1" ref="H206" ca="1">MMS_Dairy_Methane_Equations.VEERG_4_3_1_1__5_FractionVolatileSolidsSolidStorageVariation(H200,H155,$F166,H156,$F167,H157,$F168)</f>
        <v>0.12459999999999999</v>
      </c>
      <c r="I206" s="15" cm="1">
        <f t="array" aca="1" ref="I206" ca="1">MMS_Dairy_Methane_Equations.VEERG_4_3_1_1__5_FractionVolatileSolidsSolidStorageVariation(I200,I155,$F166,I156,$F167,I157,$F168)</f>
        <v>0.12459999999999999</v>
      </c>
      <c r="J206" s="15" cm="1">
        <f t="array" aca="1" ref="J206" ca="1">MMS_Dairy_Methane_Equations.VEERG_4_3_1_1__5_FractionVolatileSolidsSolidStorageVariation(J200,J155,$F166,J156,$F167,J157,$F168)</f>
        <v>0.12459999999999999</v>
      </c>
      <c r="K206" s="16" t="str">
        <f>$E$190</f>
        <v>fraction</v>
      </c>
      <c r="O206" s="15" t="str">
        <f>INDEX(X_Table_Dairy_ProductionSystems_Method1,4,1)</f>
        <v>Feed pad</v>
      </c>
      <c r="P206" s="15" t="s">
        <v>75</v>
      </c>
      <c r="Q206" s="15" cm="1">
        <f t="array" aca="1" ref="Q206" ca="1">MMS_Dairy_Methane_Equations.VEERG_4_3_1_1__5_FractionVolatileSolidsSolidStorageVariation(Q200,Q155,$Q166,Q156,$Q167,Q157,$Q168)</f>
        <v>0.12459999999999999</v>
      </c>
      <c r="R206" s="15" cm="1">
        <f t="array" aca="1" ref="R206" ca="1">MMS_Dairy_Methane_Equations.VEERG_4_3_1_1__5_FractionVolatileSolidsSolidStorageVariation(R200,R155,$Q166,R156,$Q167,R157,$Q168)</f>
        <v>0.12459999999999999</v>
      </c>
      <c r="S206" s="15" cm="1">
        <f t="array" aca="1" ref="S206" ca="1">MMS_Dairy_Methane_Equations.VEERG_4_3_1_1__5_FractionVolatileSolidsSolidStorageVariation(S200,S155,$Q166,S156,$Q167,S157,$Q168)</f>
        <v>0.12459999999999999</v>
      </c>
      <c r="T206" s="15" cm="1">
        <f t="array" aca="1" ref="T206" ca="1">MMS_Dairy_Methane_Equations.VEERG_4_3_1_1__5_FractionVolatileSolidsSolidStorageVariation(T200,T155,$Q166,T156,$Q167,T157,$Q168)</f>
        <v>0.12459999999999999</v>
      </c>
      <c r="U206" s="15" cm="1">
        <f t="array" aca="1" ref="U206" ca="1">MMS_Dairy_Methane_Equations.VEERG_4_3_1_1__5_FractionVolatileSolidsSolidStorageVariation(U200,U155,$Q166,U156,$Q167,U157,$Q168)</f>
        <v>0.12459999999999999</v>
      </c>
      <c r="V206" s="16" t="str">
        <f>$E$190</f>
        <v>fraction</v>
      </c>
    </row>
    <row r="207" spans="4:22" ht="20.100000000000001" customHeight="1" x14ac:dyDescent="0.25"/>
    <row r="208" spans="4:22" ht="20.100000000000001" customHeight="1" x14ac:dyDescent="0.25"/>
    <row r="209" spans="1:23" ht="20.100000000000001" customHeight="1" x14ac:dyDescent="0.25">
      <c r="C209" s="89"/>
      <c r="D209" s="89"/>
      <c r="E209" s="89"/>
      <c r="F209" s="89"/>
      <c r="G209" s="89"/>
      <c r="H209" s="89"/>
      <c r="I209" s="89"/>
      <c r="J209" s="89"/>
      <c r="K209" s="89"/>
      <c r="L209" s="89"/>
      <c r="N209" s="89"/>
      <c r="O209" s="89"/>
      <c r="P209" s="89"/>
      <c r="Q209" s="89"/>
      <c r="R209" s="89"/>
      <c r="S209" s="89"/>
      <c r="T209" s="89"/>
      <c r="U209" s="89"/>
      <c r="V209" s="89"/>
      <c r="W209" s="89"/>
    </row>
    <row r="210" spans="1:23" ht="20.100000000000001" customHeight="1" x14ac:dyDescent="0.25">
      <c r="D210" s="2" t="str" cm="1">
        <f t="array" ref="D210">MMS_Dairy_Methane_Equations.VEERG_4_3_1_1__2_MethaneFromManureProduction_Title()</f>
        <v>Methane from manure production from weaned dairy cattle</v>
      </c>
    </row>
    <row r="211" spans="1:23" ht="20.100000000000001" customHeight="1" x14ac:dyDescent="0.25">
      <c r="D211" s="17" t="str" cm="1">
        <f t="array" ref="D211">MMS_Dairy_Methane_Equations.VEERG_4_3_1_1__2_MethaneFromManureProduction_Source()</f>
        <v>VEERG 2026: 4.3.1.1, Equation (2)</v>
      </c>
    </row>
    <row r="212" spans="1:23" ht="20.100000000000001" customHeight="1" x14ac:dyDescent="0.25">
      <c r="D212" s="117" t="s">
        <v>343</v>
      </c>
      <c r="E212" s="117"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2"/>
    </row>
    <row r="215" spans="1:23" ht="20.100000000000001" customHeight="1" x14ac:dyDescent="0.25">
      <c r="D215" s="76" t="s">
        <v>344</v>
      </c>
      <c r="E215" s="1" t="str" cm="1">
        <f t="array" ref="E215">MMS_Dairy_Methane_Equations.VEERG_4_3_1_1__2_MethaneFromManureProduction_Variable()</f>
        <v>M_jm</v>
      </c>
    </row>
    <row r="216" spans="1:23" ht="20.100000000000001" customHeight="1" x14ac:dyDescent="0.25">
      <c r="D216" s="76" t="s">
        <v>118</v>
      </c>
      <c r="E216" s="9" t="str" cm="1">
        <f t="array" ref="E216">MMS_Dairy_Methane_Equations.VEERG_4_3_1_1__2_MethaneFromManureProduction_Unit()</f>
        <v>kg CH4/head/day</v>
      </c>
    </row>
    <row r="217" spans="1:23" ht="20.100000000000001" customHeight="1" x14ac:dyDescent="0.25">
      <c r="A217" s="128" t="str">
        <f>HYPERLINK("#A1", "▲ Back to top")</f>
        <v>▲ Back to top</v>
      </c>
    </row>
    <row r="218" spans="1:23" ht="20.100000000000001" customHeight="1" x14ac:dyDescent="0.25">
      <c r="D218" s="119" t="str" cm="1">
        <f t="array" ref="D218:E223">_xlfn.CHOOSECOLS(MMS_Dairy_Methane_Equations.VEERG_4_3_1_1__2_MethaneFromManureProduction_Arguments(),1,2)</f>
        <v>VS_j</v>
      </c>
      <c r="E218" s="124" t="str">
        <v>daily volatile solids production per head for dairy cattle (kg/head/day)</v>
      </c>
      <c r="F218" s="125"/>
      <c r="G218" s="119" t="str" cm="1">
        <f t="array" ref="G218:H223">_xlfn.CHOOSECOLS(MMS_Dairy_Methane_Equations.VEERG_4_3_1_1__2_MethaneFromManureProduction_Arguments(),3,4)</f>
        <v>kg/head/day</v>
      </c>
      <c r="H218" s="127" t="str">
        <v>Calculated from 4.3.1.1 (3)</v>
      </c>
      <c r="I218" s="126" t="str" cm="1">
        <f t="array" aca="1" ref="I218" ca="1">HYPERLINK(Common_InputFunctions.Utility_SourceHyperlink($D$130),$D$130)</f>
        <v>M1_Table_VS_j</v>
      </c>
      <c r="J218" s="119"/>
      <c r="O218" s="119" t="str" cm="1">
        <f t="array" ref="O218:P223">_xlfn.CHOOSECOLS(MMS_Dairy_Methane_Equations.VEERG_4_3_1_1__2_MethaneFromManureProduction_Arguments_Method2(),1,2)</f>
        <v>VS_j</v>
      </c>
      <c r="P218" s="124" t="str">
        <v>daily volatile solids production per head for dairy cattle (kg/head/day)</v>
      </c>
      <c r="Q218" s="125"/>
      <c r="R218" s="119" t="str" cm="1">
        <f t="array" ref="R218:S223">_xlfn.CHOOSECOLS(MMS_Dairy_Methane_Equations.VEERG_4_3_1_1__2_MethaneFromManureProduction_Arguments_Method2(),3,4)</f>
        <v>kg/head/day</v>
      </c>
      <c r="S218" s="127" t="str">
        <v>Calculated from 4.3.1.1 (3)</v>
      </c>
      <c r="T218" s="119"/>
    </row>
    <row r="219" spans="1:23" ht="20.100000000000001" customHeight="1" x14ac:dyDescent="0.25">
      <c r="D219" s="119" t="str">
        <v>FVS_jmT1</v>
      </c>
      <c r="E219" s="124" t="str">
        <v>fraction of waste from each class in each management system</v>
      </c>
      <c r="F219" s="125"/>
      <c r="G219" s="119" t="str">
        <v>fraction</v>
      </c>
      <c r="H219" s="127" t="str">
        <v>Calculated from 4.3.1.1 (4)(5)</v>
      </c>
      <c r="I219" s="126" t="str" cm="1">
        <f t="array" aca="1" ref="I219" ca="1">HYPERLINK(Common_InputFunctions.Utility_SourceHyperlink($D$170),$D$170)</f>
        <v>M1_Table_FVS_j_m</v>
      </c>
      <c r="J219" s="126" t="str" cm="1">
        <f t="array" aca="1" ref="J219" ca="1">HYPERLINK(Common_InputFunctions.Utility_SourceHyperlink($D$202),$D$202)</f>
        <v>M1_Table_FVS_j_m-4</v>
      </c>
      <c r="O219" s="119" t="str">
        <v>FVS_jmT1</v>
      </c>
      <c r="P219" s="124" t="str">
        <v>fraction of waste from each class in each management system</v>
      </c>
      <c r="Q219" s="125"/>
      <c r="R219" s="119" t="str">
        <v>fraction</v>
      </c>
      <c r="S219" s="127" t="str">
        <v>Calculated from 4.3.1.1 (4)(5)</v>
      </c>
      <c r="T219" s="119"/>
    </row>
    <row r="220" spans="1:23" ht="20.100000000000001" customHeight="1" x14ac:dyDescent="0.25">
      <c r="D220" s="119" t="str">
        <v>MCF_im</v>
      </c>
      <c r="E220" s="124" t="str">
        <v>methane conversion factor for temperature zone and MMS</v>
      </c>
      <c r="F220" s="125"/>
      <c r="G220" s="119" t="str">
        <v>fraction</v>
      </c>
      <c r="H220" s="127" t="str">
        <v>Constant</v>
      </c>
      <c r="I220" s="126" t="str" cm="1">
        <f t="array" aca="1" ref="I220" ca="1">HYPERLINK(Common_InputFunctions.Utility_SourceHyperlink($D$225),$D$225)</f>
        <v>M1_Table_MCF_i_m</v>
      </c>
      <c r="J220" s="119"/>
      <c r="O220" s="119" t="str">
        <v>MCF_im</v>
      </c>
      <c r="P220" s="124" t="str">
        <v>methane conversion factor for temperature zone and MMS</v>
      </c>
      <c r="Q220" s="125"/>
      <c r="R220" s="119" t="str">
        <v>fraction</v>
      </c>
      <c r="S220" s="127" t="str">
        <v>Constant</v>
      </c>
      <c r="T220" s="126" t="str" cm="1">
        <f t="array" aca="1" ref="T220" ca="1">HYPERLINK(Common_InputFunctions.Utility_SourceHyperlink($O$225),$O$225)</f>
        <v>M2_Table_MCF_i_m</v>
      </c>
    </row>
    <row r="221" spans="1:23" ht="20.100000000000001" customHeight="1" x14ac:dyDescent="0.25">
      <c r="D221" s="119" t="str">
        <v>B_o</v>
      </c>
      <c r="E221" s="124" t="str">
        <v>emissions potential (m3 CH4/kgVS)</v>
      </c>
      <c r="F221" s="125"/>
      <c r="G221" s="119" t="str">
        <v>m3 CH4/kgVS</v>
      </c>
      <c r="H221" s="127" t="str">
        <v>Constant</v>
      </c>
      <c r="I221" s="119">
        <f>SourceData_Dairy_MethaneEmissionsPotential_Data</f>
        <v>0.24</v>
      </c>
      <c r="J221" s="119"/>
      <c r="O221" s="119" t="str">
        <v>B_o</v>
      </c>
      <c r="P221" s="124" t="str">
        <v>emissions potential (m3 CH4/kgVS)</v>
      </c>
      <c r="Q221" s="125"/>
      <c r="R221" s="119" t="str">
        <v>m3 CH4/kgVS</v>
      </c>
      <c r="S221" s="127" t="str">
        <v>Constant</v>
      </c>
      <c r="T221" s="119"/>
    </row>
    <row r="222" spans="1:23" ht="20.100000000000001" customHeight="1" x14ac:dyDescent="0.25">
      <c r="D222" s="119" t="str">
        <v>rho</v>
      </c>
      <c r="E222" s="124" t="str">
        <v>density of methane (kg/m3)</v>
      </c>
      <c r="F222" s="125"/>
      <c r="G222" s="119" t="str">
        <v>kg/m3</v>
      </c>
      <c r="H222" s="127" t="str">
        <v>Constant</v>
      </c>
      <c r="I222" s="119">
        <f>Common_SourceData_DensityOfMethane_Data</f>
        <v>0.6784</v>
      </c>
      <c r="J222" s="119"/>
      <c r="O222" s="119" t="str">
        <v>rho</v>
      </c>
      <c r="P222" s="124" t="str">
        <v>density of methane (kg/m3)</v>
      </c>
      <c r="Q222" s="125"/>
      <c r="R222" s="119" t="str">
        <v>kg/m3</v>
      </c>
      <c r="S222" s="127" t="str">
        <v>Constant</v>
      </c>
      <c r="T222" s="119"/>
    </row>
    <row r="223" spans="1:23" ht="20.100000000000001" customHeight="1" x14ac:dyDescent="0.25">
      <c r="D223" s="119" t="str">
        <v>i</v>
      </c>
      <c r="E223" s="124" t="str">
        <v>state</v>
      </c>
      <c r="F223" s="125"/>
      <c r="G223" s="119" t="str">
        <v>state</v>
      </c>
      <c r="H223" s="120" t="str">
        <v>Input</v>
      </c>
      <c r="I223" s="119" t="str">
        <f>Common_InputFunctions.Utility_LookupValueInTable(X_Cell_Site_State, Table_AustralianStates[Common Name],Table_AustralianStates[Abbreviation])</f>
        <v/>
      </c>
      <c r="J223" s="119"/>
      <c r="O223" s="119" t="str">
        <v>MAT</v>
      </c>
      <c r="P223" s="124" t="str">
        <v>Mean annual temperature</v>
      </c>
      <c r="Q223" s="125"/>
      <c r="R223" s="119" t="str">
        <v>°C</v>
      </c>
      <c r="S223" s="120" t="str">
        <v>Input</v>
      </c>
      <c r="T223" s="119">
        <f>X_Cell_Site_AverageTemperature</f>
        <v>0</v>
      </c>
    </row>
    <row r="224" spans="1:23" ht="20.100000000000001" customHeight="1" x14ac:dyDescent="0.25"/>
    <row r="225" spans="4:22" ht="20.100000000000001" customHeight="1" x14ac:dyDescent="0.25">
      <c r="D225" s="129" t="s">
        <v>405</v>
      </c>
      <c r="O225" s="129" t="s">
        <v>406</v>
      </c>
    </row>
    <row r="226" spans="4:22" ht="20.100000000000001" customHeight="1" x14ac:dyDescent="0.25">
      <c r="D226" s="130" t="s">
        <v>407</v>
      </c>
      <c r="O226" s="130" t="s">
        <v>408</v>
      </c>
    </row>
    <row r="227" spans="4:22" ht="20.100000000000001" customHeight="1" x14ac:dyDescent="0.25">
      <c r="D227" s="123" t="s">
        <v>388</v>
      </c>
      <c r="E227" s="123" t="s">
        <v>409</v>
      </c>
      <c r="O227" s="123" t="s">
        <v>388</v>
      </c>
      <c r="P227" s="123" t="s">
        <v>409</v>
      </c>
    </row>
    <row r="228" spans="4:22" ht="20.100000000000001" customHeight="1" x14ac:dyDescent="0.25">
      <c r="D228" s="131" t="str">
        <f>'Constants - Common Livestock'!$E$27</f>
        <v>Pasture range and paddock</v>
      </c>
      <c r="E228" s="15" t="e" cm="1">
        <f t="array" ref="E228">CommonLivestock_InputFunctions.Livestock_LookupMCFState(D228,Table_SourceData_Dairy_MCFjm[NIR reference],$I$223,Table_SourceData_Dairy_MCFjm[#Headers],Table_SourceData_Dairy_MCFjm[#Data])</f>
        <v>#N/A</v>
      </c>
      <c r="O228" s="131" t="str">
        <f>'Constants - Common Livestock'!$E$27</f>
        <v>Pasture range and paddock</v>
      </c>
      <c r="P228" s="15" t="e" cm="1">
        <f t="array" ref="P228">CommonLivestock_InputFunctions.Livestock_LookupMCFState(O228,Table_SourceData_Dairy_MCFjm[NIR reference],$I$223,Table_SourceData_Dairy_MCFjm[#Headers],Table_SourceData_Dairy_MCFjm[#Data])</f>
        <v>#N/A</v>
      </c>
      <c r="Q228" s="69" t="s">
        <v>410</v>
      </c>
      <c r="R228" s="69"/>
    </row>
    <row r="229" spans="4:22" ht="20.100000000000001" customHeight="1" x14ac:dyDescent="0.25">
      <c r="D229" s="131" t="str">
        <f>'Constants - Dairy'!$D$8</f>
        <v>Anaerobic lagoon</v>
      </c>
      <c r="E229" s="15" t="e" cm="1">
        <f t="array" ref="E229">CommonLivestock_InputFunctions.Livestock_LookupMCFState(D229,Table_SourceData_Dairy_MCFjm[NIR reference],$I$223,Table_SourceData_Dairy_MCFjm[#Headers],Table_SourceData_Dairy_MCFjm[#Data])</f>
        <v>#N/A</v>
      </c>
      <c r="O229" s="131" t="str">
        <f>'Constants - Dairy'!$D$8</f>
        <v>Anaerobic lagoon</v>
      </c>
      <c r="P229" s="15">
        <f>Common_InputFunctions.Common_GetMCFTemperatureZone($T$223, O229,Table_SourceData_Common_MCFTemperatureZone[MAT raw],Table_SourceData_Common_MCFTemperatureZone[#Headers],Table_SourceData_Common_MCFTemperatureZone[#Data])</f>
        <v>0.66</v>
      </c>
    </row>
    <row r="230" spans="4:22" ht="20.100000000000001" customHeight="1" x14ac:dyDescent="0.25">
      <c r="D230" s="131" t="str">
        <f>'Constants - Dairy'!$D$9</f>
        <v>Sump and dispersal system</v>
      </c>
      <c r="E230" s="15" t="e" cm="1">
        <f t="array" ref="E230">CommonLivestock_InputFunctions.Livestock_LookupMCFState(D230,Table_SourceData_Dairy_MCFjm[NIR reference],$I$223,Table_SourceData_Dairy_MCFjm[#Headers],Table_SourceData_Dairy_MCFjm[#Data])</f>
        <v>#N/A</v>
      </c>
      <c r="O230" s="131" t="str">
        <f>'Constants - Dairy'!$D$9</f>
        <v>Sump and dispersal system</v>
      </c>
      <c r="P230" s="15">
        <f>Common_InputFunctions.Common_GetMCFTemperatureZone($T$223, "Daily spread",Table_SourceData_Common_MCFTemperatureZone[MAT raw],Table_SourceData_Common_MCFTemperatureZone[#Headers],Table_SourceData_Common_MCFTemperatureZone[#Data])</f>
        <v>1E-3</v>
      </c>
      <c r="Q230" s="69" t="s">
        <v>411</v>
      </c>
      <c r="R230" s="69"/>
    </row>
    <row r="231" spans="4:22" ht="20.100000000000001" customHeight="1" x14ac:dyDescent="0.25">
      <c r="D231" s="131" t="str">
        <f>'Constants - Dairy'!$D$10</f>
        <v>Drains to paddock</v>
      </c>
      <c r="E231" s="15" t="e" cm="1">
        <f t="array" ref="E231">CommonLivestock_InputFunctions.Livestock_LookupMCFState(D231,Table_SourceData_Dairy_MCFjm[NIR reference],$I$223,Table_SourceData_Dairy_MCFjm[#Headers],Table_SourceData_Dairy_MCFjm[#Data])</f>
        <v>#N/A</v>
      </c>
      <c r="O231" s="131" t="str">
        <f>'Constants - Dairy'!$D$10</f>
        <v>Drains to paddock</v>
      </c>
      <c r="P231" s="15">
        <f>Common_InputFunctions.Common_GetMCFTemperatureZone($T$223, "Liquid systems",Table_SourceData_Common_MCFTemperatureZone[MAT raw],Table_SourceData_Common_MCFTemperatureZone[#Headers],Table_SourceData_Common_MCFTemperatureZone[#Data])</f>
        <v>0.1</v>
      </c>
      <c r="Q231" s="69" t="s">
        <v>412</v>
      </c>
      <c r="R231" s="69"/>
    </row>
    <row r="232" spans="4:22" ht="20.100000000000001" customHeight="1" x14ac:dyDescent="0.25">
      <c r="D232" s="131" t="str">
        <f>'Constants - Dairy'!$D$11</f>
        <v>Solid storage</v>
      </c>
      <c r="E232" s="15" t="e" cm="1">
        <f t="array" ref="E232">CommonLivestock_InputFunctions.Livestock_LookupMCFState(D232,Table_SourceData_Dairy_MCFjm[NIR reference],$I$223,Table_SourceData_Dairy_MCFjm[#Headers],Table_SourceData_Dairy_MCFjm[#Data])</f>
        <v>#N/A</v>
      </c>
      <c r="O232" s="131" t="str">
        <f>'Constants - Dairy'!$D$11</f>
        <v>Solid storage</v>
      </c>
      <c r="P232" s="15">
        <f>Common_InputFunctions.Common_GetMCFTemperatureZone($T$223, O232,Table_SourceData_Common_MCFTemperatureZone[MAT raw],Table_SourceData_Common_MCFTemperatureZone[#Headers],Table_SourceData_Common_MCFTemperatureZone[#Data])</f>
        <v>0.02</v>
      </c>
    </row>
    <row r="233" spans="4:22" ht="20.100000000000001" customHeight="1" x14ac:dyDescent="0.25"/>
    <row r="234" spans="4:22" ht="20.100000000000001" customHeight="1" x14ac:dyDescent="0.25">
      <c r="D234" s="129" t="s">
        <v>413</v>
      </c>
      <c r="O234" s="129" t="s">
        <v>414</v>
      </c>
    </row>
    <row r="235" spans="4:22" ht="20.100000000000001" customHeight="1" x14ac:dyDescent="0.25">
      <c r="D235" s="130" t="s">
        <v>415</v>
      </c>
      <c r="O235" s="130" t="s">
        <v>416</v>
      </c>
    </row>
    <row r="236" spans="4:22" ht="20.100000000000001" customHeight="1" x14ac:dyDescent="0.25">
      <c r="D236" s="123" t="s">
        <v>161</v>
      </c>
      <c r="E236" s="123" t="s">
        <v>388</v>
      </c>
      <c r="F236" s="123" t="s">
        <v>295</v>
      </c>
      <c r="G236" s="123" t="s">
        <v>296</v>
      </c>
      <c r="H236" s="123" t="s">
        <v>297</v>
      </c>
      <c r="I236" s="123" t="s">
        <v>298</v>
      </c>
      <c r="J236" s="123" t="s">
        <v>299</v>
      </c>
      <c r="O236" s="123" t="s">
        <v>161</v>
      </c>
      <c r="P236" s="123" t="s">
        <v>388</v>
      </c>
      <c r="Q236" s="123" t="s">
        <v>295</v>
      </c>
      <c r="R236" s="123" t="s">
        <v>296</v>
      </c>
      <c r="S236" s="123" t="s">
        <v>297</v>
      </c>
      <c r="T236" s="123" t="s">
        <v>298</v>
      </c>
      <c r="U236" s="123" t="s">
        <v>299</v>
      </c>
    </row>
    <row r="237" spans="4:22" ht="20.100000000000001" customHeight="1" x14ac:dyDescent="0.25">
      <c r="D237" s="15" t="str">
        <f>INDEX(X_Table_Dairy_ProductionSystems_Method1,2,1)</f>
        <v>Pasture</v>
      </c>
      <c r="E237" s="15" t="str">
        <f>'Constants - Common Livestock'!$E$27</f>
        <v>Pasture range and paddock</v>
      </c>
      <c r="F237" s="15" t="e" cm="1">
        <f t="array" aca="1" ref="F237" ca="1">MMS_Dairy_Methane_Equations.VEERG_4_3_1_1__2_MethaneFromManureProduction(D$133,F173,_xlfn.XLOOKUP($E237,$D$228:$D$232,$E$228:$E$232),$I$221,$I$222)</f>
        <v>#N/A</v>
      </c>
      <c r="G237" s="15" t="e" cm="1">
        <f t="array" aca="1" ref="G237" ca="1">MMS_Dairy_Methane_Equations.VEERG_4_3_1_1__2_MethaneFromManureProduction(E$133,G173,_xlfn.XLOOKUP($E237,$D$228:$D$232,$E$228:$E$232),$I$221,$I$222)</f>
        <v>#N/A</v>
      </c>
      <c r="H237" s="15" t="e" cm="1">
        <f t="array" aca="1" ref="H237" ca="1">MMS_Dairy_Methane_Equations.VEERG_4_3_1_1__2_MethaneFromManureProduction(F$133,H173,_xlfn.XLOOKUP($E237,$D$228:$D$232,$E$228:$E$232),$I$221,$I$222)</f>
        <v>#N/A</v>
      </c>
      <c r="I237" s="15" t="e" cm="1">
        <f t="array" aca="1" ref="I237" ca="1">MMS_Dairy_Methane_Equations.VEERG_4_3_1_1__2_MethaneFromManureProduction(G$133,I173,_xlfn.XLOOKUP($E237,$D$228:$D$232,$E$228:$E$232),$I$221,$I$222)</f>
        <v>#N/A</v>
      </c>
      <c r="J237" s="15" t="e" cm="1">
        <f t="array" aca="1" ref="J237" ca="1">MMS_Dairy_Methane_Equations.VEERG_4_3_1_1__2_MethaneFromManureProduction(H$133,J173,_xlfn.XLOOKUP($E237,$D$228:$D$232,$E$228:$E$232),$I$221,$I$222)</f>
        <v>#N/A</v>
      </c>
      <c r="K237" s="16" t="str">
        <f>$E$216</f>
        <v>kg CH4/head/day</v>
      </c>
      <c r="O237" s="15" t="str">
        <f>INDEX(X_Table_Dairy_ProductionSystems_Method1,2,1)</f>
        <v>Pasture</v>
      </c>
      <c r="P237" s="15" t="str">
        <f>'Constants - Common Livestock'!$E$27</f>
        <v>Pasture range and paddock</v>
      </c>
      <c r="Q237" s="15" t="e" cm="1">
        <f t="array" aca="1" ref="Q237" ca="1">MMS_Dairy_Methane_Equations.VEERG_4_3_1_1__2_MethaneFromManureProduction(O$133,Q173,_xlfn.XLOOKUP($P237,$O$228:$O$232,$P$228:$P$232),$I$221,$I$222)</f>
        <v>#N/A</v>
      </c>
      <c r="R237" s="15" t="e" cm="1">
        <f t="array" aca="1" ref="R237" ca="1">MMS_Dairy_Methane_Equations.VEERG_4_3_1_1__2_MethaneFromManureProduction(P$133,R173,_xlfn.XLOOKUP($P237,$O$228:$O$232,$P$228:$P$232),$I$221,$I$222)</f>
        <v>#N/A</v>
      </c>
      <c r="S237" s="15" t="e" cm="1">
        <f t="array" aca="1" ref="S237" ca="1">MMS_Dairy_Methane_Equations.VEERG_4_3_1_1__2_MethaneFromManureProduction(Q$133,S173,_xlfn.XLOOKUP($P237,$O$228:$O$232,$P$228:$P$232),$I$221,$I$222)</f>
        <v>#N/A</v>
      </c>
      <c r="T237" s="15" t="e" cm="1">
        <f t="array" aca="1" ref="T237" ca="1">MMS_Dairy_Methane_Equations.VEERG_4_3_1_1__2_MethaneFromManureProduction(R$133,T173,_xlfn.XLOOKUP($P237,$O$228:$O$232,$P$228:$P$232),$I$221,$I$222)</f>
        <v>#N/A</v>
      </c>
      <c r="U237" s="15" t="e" cm="1">
        <f t="array" aca="1" ref="U237" ca="1">MMS_Dairy_Methane_Equations.VEERG_4_3_1_1__2_MethaneFromManureProduction(S$133,U173,_xlfn.XLOOKUP($P237,$O$228:$O$232,$P$228:$P$232),$I$221,$I$222)</f>
        <v>#N/A</v>
      </c>
      <c r="V237" s="16" t="str">
        <f>$E$216</f>
        <v>kg CH4/head/day</v>
      </c>
    </row>
    <row r="238" spans="4:22" ht="20.100000000000001" customHeight="1" x14ac:dyDescent="0.25">
      <c r="D238" s="15" t="str">
        <f>INDEX(X_Table_Dairy_ProductionSystems_Method1,3,1)</f>
        <v>Milking shed</v>
      </c>
      <c r="E238" s="15" t="str">
        <f>INDEX(X_Table_Dairy_Stage1MMS_1_AnaerobicLagoon,2,1)</f>
        <v>Anaerobic lagoon</v>
      </c>
      <c r="F238" s="15" t="e" cm="1">
        <f t="array" aca="1" ref="F238" ca="1">MMS_Dairy_Methane_Equations.VEERG_4_3_1_1__2_MethaneFromManureProduction(D$133,F174,_xlfn.XLOOKUP($E238,$D$228:$D$232,$E$228:$E$232),$I$221,$I$222)</f>
        <v>#N/A</v>
      </c>
      <c r="G238" s="15" t="e" cm="1">
        <f t="array" aca="1" ref="G238" ca="1">MMS_Dairy_Methane_Equations.VEERG_4_3_1_1__2_MethaneFromManureProduction(E$133,G174,_xlfn.XLOOKUP($E238,$D$228:$D$232,$E$228:$E$232),$I$221,$I$222)</f>
        <v>#N/A</v>
      </c>
      <c r="H238" s="15" t="e" cm="1">
        <f t="array" aca="1" ref="H238" ca="1">MMS_Dairy_Methane_Equations.VEERG_4_3_1_1__2_MethaneFromManureProduction(F$133,H174,_xlfn.XLOOKUP($E238,$D$228:$D$232,$E$228:$E$232),$I$221,$I$222)</f>
        <v>#N/A</v>
      </c>
      <c r="I238" s="15" t="e" cm="1">
        <f t="array" aca="1" ref="I238" ca="1">MMS_Dairy_Methane_Equations.VEERG_4_3_1_1__2_MethaneFromManureProduction(G$133,I174,_xlfn.XLOOKUP($E238,$D$228:$D$232,$E$228:$E$232),$I$221,$I$222)</f>
        <v>#N/A</v>
      </c>
      <c r="J238" s="15" t="e" cm="1">
        <f t="array" aca="1" ref="J238" ca="1">MMS_Dairy_Methane_Equations.VEERG_4_3_1_1__2_MethaneFromManureProduction(H$133,J174,_xlfn.XLOOKUP($E238,$D$228:$D$232,$E$228:$E$232),$I$221,$I$222)</f>
        <v>#N/A</v>
      </c>
      <c r="O238" s="15" t="str">
        <f>INDEX(X_Table_Dairy_ProductionSystems_Method1,3,1)</f>
        <v>Milking shed</v>
      </c>
      <c r="P238" s="15" t="str">
        <f>INDEX(X_Table_Dairy_Stage1MMS_1_AnaerobicLagoon,2,1)</f>
        <v>Anaerobic lagoon</v>
      </c>
      <c r="Q238" s="15" cm="1">
        <f t="array" aca="1" ref="Q238" ca="1">MMS_Dairy_Methane_Equations.VEERG_4_3_1_1__2_MethaneFromManureProduction(O$133,Q174,_xlfn.XLOOKUP($P238,$O$228:$O$232,$P$228:$P$232),$I$221,$I$222)</f>
        <v>1.1879534252802219E-2</v>
      </c>
      <c r="R238" s="15" cm="1">
        <f t="array" aca="1" ref="R238" ca="1">MMS_Dairy_Methane_Equations.VEERG_4_3_1_1__2_MethaneFromManureProduction(P$133,R174,_xlfn.XLOOKUP($P238,$O$228:$O$232,$P$228:$P$232),$I$221,$I$222)</f>
        <v>4.6793679700224836E-3</v>
      </c>
      <c r="S238" s="15" cm="1">
        <f t="array" aca="1" ref="S238" ca="1">MMS_Dairy_Methane_Equations.VEERG_4_3_1_1__2_MethaneFromManureProduction(Q$133,S174,_xlfn.XLOOKUP($P238,$O$228:$O$232,$P$228:$P$232),$I$221,$I$222)</f>
        <v>2.5375714585431615E-3</v>
      </c>
      <c r="T238" s="15" cm="1">
        <f t="array" aca="1" ref="T238" ca="1">MMS_Dairy_Methane_Equations.VEERG_4_3_1_1__2_MethaneFromManureProduction(R$133,T174,_xlfn.XLOOKUP($P238,$O$228:$O$232,$P$228:$P$232),$I$221,$I$222)</f>
        <v>5.6936915930659191E-3</v>
      </c>
      <c r="U238" s="15" cm="1">
        <f t="array" aca="1" ref="U238" ca="1">MMS_Dairy_Methane_Equations.VEERG_4_3_1_1__2_MethaneFromManureProduction(S$133,U174,_xlfn.XLOOKUP($P238,$O$228:$O$232,$P$228:$P$232),$I$221,$I$222)</f>
        <v>3.4150387009742799E-3</v>
      </c>
    </row>
    <row r="239" spans="4:22" ht="20.100000000000001" customHeight="1" x14ac:dyDescent="0.25">
      <c r="D239" s="15" t="str">
        <f>INDEX(X_Table_Dairy_ProductionSystems_Method1,3,1)</f>
        <v>Milking shed</v>
      </c>
      <c r="E239" s="15" t="str">
        <f>INDEX(X_Table_Dairy_Stage1MMS_1_SumpAndDispersal,2,1)</f>
        <v>Sump and dispersal system</v>
      </c>
      <c r="F239" s="15" t="e" cm="1">
        <f t="array" aca="1" ref="F239" ca="1">MMS_Dairy_Methane_Equations.VEERG_4_3_1_1__2_MethaneFromManureProduction(D$133,F175,_xlfn.XLOOKUP($E239,$D$228:$D$232,$E$228:$E$232),$I$221,$I$222)</f>
        <v>#N/A</v>
      </c>
      <c r="G239" s="15" t="e" cm="1">
        <f t="array" aca="1" ref="G239" ca="1">MMS_Dairy_Methane_Equations.VEERG_4_3_1_1__2_MethaneFromManureProduction(E$133,G175,_xlfn.XLOOKUP($E239,$D$228:$D$232,$E$228:$E$232),$I$221,$I$222)</f>
        <v>#N/A</v>
      </c>
      <c r="H239" s="15" t="e" cm="1">
        <f t="array" aca="1" ref="H239" ca="1">MMS_Dairy_Methane_Equations.VEERG_4_3_1_1__2_MethaneFromManureProduction(F$133,H175,_xlfn.XLOOKUP($E239,$D$228:$D$232,$E$228:$E$232),$I$221,$I$222)</f>
        <v>#N/A</v>
      </c>
      <c r="I239" s="15" t="e" cm="1">
        <f t="array" aca="1" ref="I239" ca="1">MMS_Dairy_Methane_Equations.VEERG_4_3_1_1__2_MethaneFromManureProduction(G$133,I175,_xlfn.XLOOKUP($E239,$D$228:$D$232,$E$228:$E$232),$I$221,$I$222)</f>
        <v>#N/A</v>
      </c>
      <c r="J239" s="15" t="e" cm="1">
        <f t="array" aca="1" ref="J239" ca="1">MMS_Dairy_Methane_Equations.VEERG_4_3_1_1__2_MethaneFromManureProduction(H$133,J175,_xlfn.XLOOKUP($E239,$D$228:$D$232,$E$228:$E$232),$I$221,$I$222)</f>
        <v>#N/A</v>
      </c>
      <c r="K239" s="16"/>
      <c r="O239" s="15" t="str">
        <f>INDEX(X_Table_Dairy_ProductionSystems_Method1,3,1)</f>
        <v>Milking shed</v>
      </c>
      <c r="P239" s="15" t="str">
        <f>INDEX(X_Table_Dairy_Stage1MMS_1_SumpAndDispersal,2,1)</f>
        <v>Sump and dispersal system</v>
      </c>
      <c r="Q239" s="15" cm="1">
        <f t="array" aca="1" ref="Q239" ca="1">MMS_Dairy_Methane_Equations.VEERG_4_3_1_1__2_MethaneFromManureProduction(O$133,Q175,_xlfn.XLOOKUP($P239,$O$228:$O$232,$P$228:$P$232),$I$221,$I$222)</f>
        <v>1.7999294322427604E-5</v>
      </c>
      <c r="R239" s="15" cm="1">
        <f t="array" aca="1" ref="R239" ca="1">MMS_Dairy_Methane_Equations.VEERG_4_3_1_1__2_MethaneFromManureProduction(P$133,R175,_xlfn.XLOOKUP($P239,$O$228:$O$232,$P$228:$P$232),$I$221,$I$222)</f>
        <v>7.0899514697310359E-6</v>
      </c>
      <c r="S239" s="15" cm="1">
        <f t="array" aca="1" ref="S239" ca="1">MMS_Dairy_Methane_Equations.VEERG_4_3_1_1__2_MethaneFromManureProduction(Q$133,S175,_xlfn.XLOOKUP($P239,$O$228:$O$232,$P$228:$P$232),$I$221,$I$222)</f>
        <v>3.8448052402169111E-6</v>
      </c>
      <c r="T239" s="15" cm="1">
        <f t="array" aca="1" ref="T239" ca="1">MMS_Dairy_Methane_Equations.VEERG_4_3_1_1__2_MethaneFromManureProduction(R$133,T175,_xlfn.XLOOKUP($P239,$O$228:$O$232,$P$228:$P$232),$I$221,$I$222)</f>
        <v>8.6268054440392693E-6</v>
      </c>
      <c r="U239" s="15" cm="1">
        <f t="array" aca="1" ref="U239" ca="1">MMS_Dairy_Methane_Equations.VEERG_4_3_1_1__2_MethaneFromManureProduction(S$133,U175,_xlfn.XLOOKUP($P239,$O$228:$O$232,$P$228:$P$232),$I$221,$I$222)</f>
        <v>5.1743010620822422E-6</v>
      </c>
      <c r="V239" s="16"/>
    </row>
    <row r="240" spans="4:22" ht="20.100000000000001" customHeight="1" x14ac:dyDescent="0.25">
      <c r="D240" s="15" t="str">
        <f>INDEX(X_Table_Dairy_ProductionSystems_Method1,3,1)</f>
        <v>Milking shed</v>
      </c>
      <c r="E240" s="15" t="str">
        <f>INDEX(X_Table_Dairy_Stage1MMS_1_DrainsToPaddock,2,1)</f>
        <v>Drains to paddock</v>
      </c>
      <c r="F240" s="15" t="e" cm="1">
        <f t="array" aca="1" ref="F240" ca="1">MMS_Dairy_Methane_Equations.VEERG_4_3_1_1__2_MethaneFromManureProduction(D$133,F176,_xlfn.XLOOKUP($E240,$D$228:$D$232,$E$228:$E$232),$I$221,$I$222)</f>
        <v>#N/A</v>
      </c>
      <c r="G240" s="15" t="e" cm="1">
        <f t="array" aca="1" ref="G240" ca="1">MMS_Dairy_Methane_Equations.VEERG_4_3_1_1__2_MethaneFromManureProduction(E$133,G176,_xlfn.XLOOKUP($E240,$D$228:$D$232,$E$228:$E$232),$I$221,$I$222)</f>
        <v>#N/A</v>
      </c>
      <c r="H240" s="15" t="e" cm="1">
        <f t="array" aca="1" ref="H240" ca="1">MMS_Dairy_Methane_Equations.VEERG_4_3_1_1__2_MethaneFromManureProduction(F$133,H176,_xlfn.XLOOKUP($E240,$D$228:$D$232,$E$228:$E$232),$I$221,$I$222)</f>
        <v>#N/A</v>
      </c>
      <c r="I240" s="15" t="e" cm="1">
        <f t="array" aca="1" ref="I240" ca="1">MMS_Dairy_Methane_Equations.VEERG_4_3_1_1__2_MethaneFromManureProduction(G$133,I176,_xlfn.XLOOKUP($E240,$D$228:$D$232,$E$228:$E$232),$I$221,$I$222)</f>
        <v>#N/A</v>
      </c>
      <c r="J240" s="15" t="e" cm="1">
        <f t="array" aca="1" ref="J240" ca="1">MMS_Dairy_Methane_Equations.VEERG_4_3_1_1__2_MethaneFromManureProduction(H$133,J176,_xlfn.XLOOKUP($E240,$D$228:$D$232,$E$228:$E$232),$I$221,$I$222)</f>
        <v>#N/A</v>
      </c>
      <c r="K240" s="16"/>
      <c r="O240" s="15" t="str">
        <f>INDEX(X_Table_Dairy_ProductionSystems_Method1,3,1)</f>
        <v>Milking shed</v>
      </c>
      <c r="P240" s="15" t="str">
        <f>INDEX(X_Table_Dairy_Stage1MMS_1_DrainsToPaddock,2,1)</f>
        <v>Drains to paddock</v>
      </c>
      <c r="Q240" s="15" cm="1">
        <f t="array" aca="1" ref="Q240" ca="1">MMS_Dairy_Methane_Equations.VEERG_4_3_1_1__2_MethaneFromManureProduction(O$133,Q176,_xlfn.XLOOKUP($P240,$O$228:$O$232,$P$228:$P$232),$I$221,$I$222)</f>
        <v>1.7999294322427605E-3</v>
      </c>
      <c r="R240" s="15" cm="1">
        <f t="array" aca="1" ref="R240" ca="1">MMS_Dairy_Methane_Equations.VEERG_4_3_1_1__2_MethaneFromManureProduction(P$133,R176,_xlfn.XLOOKUP($P240,$O$228:$O$232,$P$228:$P$232),$I$221,$I$222)</f>
        <v>7.0899514697310363E-4</v>
      </c>
      <c r="S240" s="15" cm="1">
        <f t="array" aca="1" ref="S240" ca="1">MMS_Dairy_Methane_Equations.VEERG_4_3_1_1__2_MethaneFromManureProduction(Q$133,S176,_xlfn.XLOOKUP($P240,$O$228:$O$232,$P$228:$P$232),$I$221,$I$222)</f>
        <v>3.844805240216912E-4</v>
      </c>
      <c r="T240" s="15" cm="1">
        <f t="array" aca="1" ref="T240" ca="1">MMS_Dairy_Methane_Equations.VEERG_4_3_1_1__2_MethaneFromManureProduction(R$133,T176,_xlfn.XLOOKUP($P240,$O$228:$O$232,$P$228:$P$232),$I$221,$I$222)</f>
        <v>8.626805444039271E-4</v>
      </c>
      <c r="U240" s="15" cm="1">
        <f t="array" aca="1" ref="U240" ca="1">MMS_Dairy_Methane_Equations.VEERG_4_3_1_1__2_MethaneFromManureProduction(S$133,U176,_xlfn.XLOOKUP($P240,$O$228:$O$232,$P$228:$P$232),$I$221,$I$222)</f>
        <v>5.1743010620822422E-4</v>
      </c>
      <c r="V240" s="16"/>
    </row>
    <row r="241" spans="3:23" ht="20.100000000000001" customHeight="1" x14ac:dyDescent="0.25">
      <c r="D241" s="15" t="str">
        <f>INDEX(X_Table_Dairy_ProductionSystems_Method1,3,1)</f>
        <v>Milking shed</v>
      </c>
      <c r="E241" s="15" t="s">
        <v>75</v>
      </c>
      <c r="F241" s="15" t="e" cm="1">
        <f t="array" aca="1" ref="F241" ca="1">MMS_Dairy_Methane_Equations.VEERG_4_3_1_1__2_MethaneFromManureProduction(D$133,F205,_xlfn.XLOOKUP($E241,$D$228:$D$232,$E$228:$E$232),$I$221,$I$222)</f>
        <v>#N/A</v>
      </c>
      <c r="G241" s="15" t="e" cm="1">
        <f t="array" aca="1" ref="G241" ca="1">MMS_Dairy_Methane_Equations.VEERG_4_3_1_1__2_MethaneFromManureProduction(E$133,G205,_xlfn.XLOOKUP($E241,$D$228:$D$232,$E$228:$E$232),$I$221,$I$222)</f>
        <v>#N/A</v>
      </c>
      <c r="H241" s="15" t="e" cm="1">
        <f t="array" aca="1" ref="H241" ca="1">MMS_Dairy_Methane_Equations.VEERG_4_3_1_1__2_MethaneFromManureProduction(F$133,H205,_xlfn.XLOOKUP($E241,$D$228:$D$232,$E$228:$E$232),$I$221,$I$222)</f>
        <v>#N/A</v>
      </c>
      <c r="I241" s="15" t="e" cm="1">
        <f t="array" aca="1" ref="I241" ca="1">MMS_Dairy_Methane_Equations.VEERG_4_3_1_1__2_MethaneFromManureProduction(G$133,I205,_xlfn.XLOOKUP($E241,$D$228:$D$232,$E$228:$E$232),$I$221,$I$222)</f>
        <v>#N/A</v>
      </c>
      <c r="J241" s="15" t="e" cm="1">
        <f t="array" aca="1" ref="J241" ca="1">MMS_Dairy_Methane_Equations.VEERG_4_3_1_1__2_MethaneFromManureProduction(H$133,J205,_xlfn.XLOOKUP($E241,$D$228:$D$232,$E$228:$E$232),$I$221,$I$222)</f>
        <v>#N/A</v>
      </c>
      <c r="K241" s="16"/>
      <c r="O241" s="15" t="str">
        <f>INDEX(X_Table_Dairy_ProductionSystems_Method1,3,1)</f>
        <v>Milking shed</v>
      </c>
      <c r="P241" s="15" t="s">
        <v>75</v>
      </c>
      <c r="Q241" s="15" cm="1">
        <f t="array" aca="1" ref="Q241" ca="1">MMS_Dairy_Methane_Equations.VEERG_4_3_1_1__2_MethaneFromManureProduction(O$133,Q205,_xlfn.XLOOKUP($P241,$O$228:$O$232,$P$228:$P$232),$I$221,$I$222)</f>
        <v>7.1997177289710409E-4</v>
      </c>
      <c r="R241" s="15" cm="1">
        <f t="array" aca="1" ref="R241" ca="1">MMS_Dairy_Methane_Equations.VEERG_4_3_1_1__2_MethaneFromManureProduction(P$133,R205,_xlfn.XLOOKUP($P241,$O$228:$O$232,$P$228:$P$232),$I$221,$I$222)</f>
        <v>2.8359805878924141E-4</v>
      </c>
      <c r="S241" s="15" cm="1">
        <f t="array" aca="1" ref="S241" ca="1">MMS_Dairy_Methane_Equations.VEERG_4_3_1_1__2_MethaneFromManureProduction(Q$133,S205,_xlfn.XLOOKUP($P241,$O$228:$O$232,$P$228:$P$232),$I$221,$I$222)</f>
        <v>1.5379220960867642E-4</v>
      </c>
      <c r="T241" s="15" cm="1">
        <f t="array" aca="1" ref="T241" ca="1">MMS_Dairy_Methane_Equations.VEERG_4_3_1_1__2_MethaneFromManureProduction(R$133,T205,_xlfn.XLOOKUP($P241,$O$228:$O$232,$P$228:$P$232),$I$221,$I$222)</f>
        <v>3.4507221776157069E-4</v>
      </c>
      <c r="U241" s="15" cm="1">
        <f t="array" aca="1" ref="U241" ca="1">MMS_Dairy_Methane_Equations.VEERG_4_3_1_1__2_MethaneFromManureProduction(S$133,U205,_xlfn.XLOOKUP($P241,$O$228:$O$232,$P$228:$P$232),$I$221,$I$222)</f>
        <v>2.0697204248328968E-4</v>
      </c>
      <c r="V241" s="16"/>
    </row>
    <row r="242" spans="3:23" ht="20.100000000000001" customHeight="1" x14ac:dyDescent="0.25">
      <c r="D242" s="15" t="str">
        <f>INDEX(X_Table_Dairy_ProductionSystems_Method1,4,1)</f>
        <v>Feed pad</v>
      </c>
      <c r="E242" s="15" t="str">
        <f>INDEX(X_Table_Dairy_Stage1MMS_2_AnaerobicLagoon,2,1)</f>
        <v>Anaerobic lagoon</v>
      </c>
      <c r="F242" s="15" t="e" cm="1">
        <f t="array" aca="1" ref="F242" ca="1">MMS_Dairy_Methane_Equations.VEERG_4_3_1_1__2_MethaneFromManureProduction(D$133,F177,_xlfn.XLOOKUP($E242,$D$228:$D$232,$E$228:$E$232),$I$221,$I$222)</f>
        <v>#N/A</v>
      </c>
      <c r="G242" s="15" t="e" cm="1">
        <f t="array" aca="1" ref="G242" ca="1">MMS_Dairy_Methane_Equations.VEERG_4_3_1_1__2_MethaneFromManureProduction(E$133,G177,_xlfn.XLOOKUP($E242,$D$228:$D$232,$E$228:$E$232),$I$221,$I$222)</f>
        <v>#N/A</v>
      </c>
      <c r="H242" s="15" t="e" cm="1">
        <f t="array" aca="1" ref="H242" ca="1">MMS_Dairy_Methane_Equations.VEERG_4_3_1_1__2_MethaneFromManureProduction(F$133,H177,_xlfn.XLOOKUP($E242,$D$228:$D$232,$E$228:$E$232),$I$221,$I$222)</f>
        <v>#N/A</v>
      </c>
      <c r="I242" s="15" t="e" cm="1">
        <f t="array" aca="1" ref="I242" ca="1">MMS_Dairy_Methane_Equations.VEERG_4_3_1_1__2_MethaneFromManureProduction(G$133,I177,_xlfn.XLOOKUP($E242,$D$228:$D$232,$E$228:$E$232),$I$221,$I$222)</f>
        <v>#N/A</v>
      </c>
      <c r="J242" s="15" t="e" cm="1">
        <f t="array" aca="1" ref="J242" ca="1">MMS_Dairy_Methane_Equations.VEERG_4_3_1_1__2_MethaneFromManureProduction(H$133,J177,_xlfn.XLOOKUP($E242,$D$228:$D$232,$E$228:$E$232),$I$221,$I$222)</f>
        <v>#N/A</v>
      </c>
      <c r="K242" s="16"/>
      <c r="O242" s="15" t="str">
        <f>INDEX(X_Table_Dairy_ProductionSystems_Method1,4,1)</f>
        <v>Feed pad</v>
      </c>
      <c r="P242" s="15" t="str">
        <f>INDEX(X_Table_Dairy_Stage1MMS_2_AnaerobicLagoon,2,1)</f>
        <v>Anaerobic lagoon</v>
      </c>
      <c r="Q242" s="15" cm="1">
        <f t="array" aca="1" ref="Q242" ca="1">MMS_Dairy_Methane_Equations.VEERG_4_3_1_1__2_MethaneFromManureProduction(O$133,Q177,_xlfn.XLOOKUP($P242,$O$228:$O$232,$P$228:$P$232),$I$221,$I$222)</f>
        <v>4.8058115840881689E-2</v>
      </c>
      <c r="R242" s="15" cm="1">
        <f t="array" aca="1" ref="R242" ca="1">MMS_Dairy_Methane_Equations.VEERG_4_3_1_1__2_MethaneFromManureProduction(P$133,R177,_xlfn.XLOOKUP($P242,$O$228:$O$232,$P$228:$P$232),$I$221,$I$222)</f>
        <v>1.8930170424181863E-2</v>
      </c>
      <c r="S242" s="15" cm="1">
        <f t="array" aca="1" ref="S242" ca="1">MMS_Dairy_Methane_Equations.VEERG_4_3_1_1__2_MethaneFromManureProduction(Q$133,S177,_xlfn.XLOOKUP($P242,$O$228:$O$232,$P$228:$P$232),$I$221,$I$222)</f>
        <v>1.0265629991379154E-2</v>
      </c>
      <c r="T242" s="15" cm="1">
        <f t="array" aca="1" ref="T242" ca="1">MMS_Dairy_Methane_Equations.VEERG_4_3_1_1__2_MethaneFromManureProduction(R$133,T177,_xlfn.XLOOKUP($P242,$O$228:$O$232,$P$228:$P$232),$I$221,$I$222)</f>
        <v>2.3033570535584851E-2</v>
      </c>
      <c r="U242" s="15" cm="1">
        <f t="array" aca="1" ref="U242" ca="1">MMS_Dairy_Methane_Equations.VEERG_4_3_1_1__2_MethaneFromManureProduction(S$133,U177,_xlfn.XLOOKUP($P242,$O$228:$O$232,$P$228:$P$232),$I$221,$I$222)</f>
        <v>1.3815383835759587E-2</v>
      </c>
      <c r="V242" s="16"/>
    </row>
    <row r="243" spans="3:23" ht="20.100000000000001" customHeight="1" x14ac:dyDescent="0.25">
      <c r="D243" s="15" t="str">
        <f>INDEX(X_Table_Dairy_ProductionSystems_Method1,4,1)</f>
        <v>Feed pad</v>
      </c>
      <c r="E243" s="15" t="str">
        <f>INDEX(X_Table_Dairy_Stage1MMS_2_SumpAndDispersal,2,1)</f>
        <v>Sump and dispersal system</v>
      </c>
      <c r="F243" s="15" t="e" cm="1">
        <f t="array" aca="1" ref="F243" ca="1">MMS_Dairy_Methane_Equations.VEERG_4_3_1_1__2_MethaneFromManureProduction(D$133,F178,_xlfn.XLOOKUP($E243,$D$228:$D$232,$E$228:$E$232),$I$221,$I$222)</f>
        <v>#N/A</v>
      </c>
      <c r="G243" s="15" t="e" cm="1">
        <f t="array" aca="1" ref="G243" ca="1">MMS_Dairy_Methane_Equations.VEERG_4_3_1_1__2_MethaneFromManureProduction(E$133,G178,_xlfn.XLOOKUP($E243,$D$228:$D$232,$E$228:$E$232),$I$221,$I$222)</f>
        <v>#N/A</v>
      </c>
      <c r="H243" s="15" t="e" cm="1">
        <f t="array" aca="1" ref="H243" ca="1">MMS_Dairy_Methane_Equations.VEERG_4_3_1_1__2_MethaneFromManureProduction(F$133,H178,_xlfn.XLOOKUP($E243,$D$228:$D$232,$E$228:$E$232),$I$221,$I$222)</f>
        <v>#N/A</v>
      </c>
      <c r="I243" s="15" t="e" cm="1">
        <f t="array" aca="1" ref="I243" ca="1">MMS_Dairy_Methane_Equations.VEERG_4_3_1_1__2_MethaneFromManureProduction(G$133,I178,_xlfn.XLOOKUP($E243,$D$228:$D$232,$E$228:$E$232),$I$221,$I$222)</f>
        <v>#N/A</v>
      </c>
      <c r="J243" s="15" t="e" cm="1">
        <f t="array" aca="1" ref="J243" ca="1">MMS_Dairy_Methane_Equations.VEERG_4_3_1_1__2_MethaneFromManureProduction(H$133,J178,_xlfn.XLOOKUP($E243,$D$228:$D$232,$E$228:$E$232),$I$221,$I$222)</f>
        <v>#N/A</v>
      </c>
      <c r="K243" s="16"/>
      <c r="O243" s="15" t="str">
        <f>INDEX(X_Table_Dairy_ProductionSystems_Method1,4,1)</f>
        <v>Feed pad</v>
      </c>
      <c r="P243" s="15" t="str">
        <f>INDEX(X_Table_Dairy_Stage1MMS_2_SumpAndDispersal,2,1)</f>
        <v>Sump and dispersal system</v>
      </c>
      <c r="Q243" s="15" cm="1">
        <f t="array" aca="1" ref="Q243" ca="1">MMS_Dairy_Methane_Equations.VEERG_4_3_1_1__2_MethaneFromManureProduction(O$133,Q178,_xlfn.XLOOKUP($P243,$O$228:$O$232,$P$228:$P$232),$I$221,$I$222)</f>
        <v>5.8252261625311148E-5</v>
      </c>
      <c r="R243" s="15" cm="1">
        <f t="array" aca="1" ref="R243" ca="1">MMS_Dairy_Methane_Equations.VEERG_4_3_1_1__2_MethaneFromManureProduction(P$133,R178,_xlfn.XLOOKUP($P243,$O$228:$O$232,$P$228:$P$232),$I$221,$I$222)</f>
        <v>2.2945661120220439E-5</v>
      </c>
      <c r="S243" s="15" cm="1">
        <f t="array" aca="1" ref="S243" ca="1">MMS_Dairy_Methane_Equations.VEERG_4_3_1_1__2_MethaneFromManureProduction(Q$133,S178,_xlfn.XLOOKUP($P243,$O$228:$O$232,$P$228:$P$232),$I$221,$I$222)</f>
        <v>1.2443187868338368E-5</v>
      </c>
      <c r="T243" s="15" cm="1">
        <f t="array" aca="1" ref="T243" ca="1">MMS_Dairy_Methane_Equations.VEERG_4_3_1_1__2_MethaneFromManureProduction(R$133,T178,_xlfn.XLOOKUP($P243,$O$228:$O$232,$P$228:$P$232),$I$221,$I$222)</f>
        <v>2.791947943707254E-5</v>
      </c>
      <c r="U243" s="15" cm="1">
        <f t="array" aca="1" ref="U243" ca="1">MMS_Dairy_Methane_Equations.VEERG_4_3_1_1__2_MethaneFromManureProduction(S$133,U178,_xlfn.XLOOKUP($P243,$O$228:$O$232,$P$228:$P$232),$I$221,$I$222)</f>
        <v>1.6745919800920708E-5</v>
      </c>
      <c r="V243" s="16"/>
    </row>
    <row r="244" spans="3:23" ht="20.100000000000001" customHeight="1" x14ac:dyDescent="0.25">
      <c r="D244" s="15" t="str">
        <f>INDEX(X_Table_Dairy_ProductionSystems_Method1,4,1)</f>
        <v>Feed pad</v>
      </c>
      <c r="E244" s="15" t="str">
        <f>INDEX(X_Table_Dairy_Stage1MMS_2_DrainsToPaddock,2,1)</f>
        <v>Drains to paddock</v>
      </c>
      <c r="F244" s="15" t="e" cm="1">
        <f t="array" aca="1" ref="F244" ca="1">MMS_Dairy_Methane_Equations.VEERG_4_3_1_1__2_MethaneFromManureProduction(D$133,F179,_xlfn.XLOOKUP($E244,$D$228:$D$232,$E$228:$E$232),$I$221,$I$222)</f>
        <v>#N/A</v>
      </c>
      <c r="G244" s="15" t="e" cm="1">
        <f t="array" aca="1" ref="G244" ca="1">MMS_Dairy_Methane_Equations.VEERG_4_3_1_1__2_MethaneFromManureProduction(E$133,G179,_xlfn.XLOOKUP($E244,$D$228:$D$232,$E$228:$E$232),$I$221,$I$222)</f>
        <v>#N/A</v>
      </c>
      <c r="H244" s="15" t="e" cm="1">
        <f t="array" aca="1" ref="H244" ca="1">MMS_Dairy_Methane_Equations.VEERG_4_3_1_1__2_MethaneFromManureProduction(F$133,H179,_xlfn.XLOOKUP($E244,$D$228:$D$232,$E$228:$E$232),$I$221,$I$222)</f>
        <v>#N/A</v>
      </c>
      <c r="I244" s="15" t="e" cm="1">
        <f t="array" aca="1" ref="I244" ca="1">MMS_Dairy_Methane_Equations.VEERG_4_3_1_1__2_MethaneFromManureProduction(G$133,I179,_xlfn.XLOOKUP($E244,$D$228:$D$232,$E$228:$E$232),$I$221,$I$222)</f>
        <v>#N/A</v>
      </c>
      <c r="J244" s="15" t="e" cm="1">
        <f t="array" aca="1" ref="J244" ca="1">MMS_Dairy_Methane_Equations.VEERG_4_3_1_1__2_MethaneFromManureProduction(H$133,J179,_xlfn.XLOOKUP($E244,$D$228:$D$232,$E$228:$E$232),$I$221,$I$222)</f>
        <v>#N/A</v>
      </c>
      <c r="K244" s="16"/>
      <c r="O244" s="15" t="str">
        <f>INDEX(X_Table_Dairy_ProductionSystems_Method1,4,1)</f>
        <v>Feed pad</v>
      </c>
      <c r="P244" s="15" t="str">
        <f>INDEX(X_Table_Dairy_Stage1MMS_2_DrainsToPaddock,2,1)</f>
        <v>Drains to paddock</v>
      </c>
      <c r="Q244" s="15" cm="1">
        <f t="array" aca="1" ref="Q244" ca="1">MMS_Dairy_Methane_Equations.VEERG_4_3_1_1__2_MethaneFromManureProduction(O$133,Q179,_xlfn.XLOOKUP($P244,$O$228:$O$232,$P$228:$P$232),$I$221,$I$222)</f>
        <v>5.8252261625311138E-3</v>
      </c>
      <c r="R244" s="15" cm="1">
        <f t="array" aca="1" ref="R244" ca="1">MMS_Dairy_Methane_Equations.VEERG_4_3_1_1__2_MethaneFromManureProduction(P$133,R179,_xlfn.XLOOKUP($P244,$O$228:$O$232,$P$228:$P$232),$I$221,$I$222)</f>
        <v>2.294566112022044E-3</v>
      </c>
      <c r="S244" s="15" cm="1">
        <f t="array" aca="1" ref="S244" ca="1">MMS_Dairy_Methane_Equations.VEERG_4_3_1_1__2_MethaneFromManureProduction(Q$133,S179,_xlfn.XLOOKUP($P244,$O$228:$O$232,$P$228:$P$232),$I$221,$I$222)</f>
        <v>1.2443187868338367E-3</v>
      </c>
      <c r="T244" s="15" cm="1">
        <f t="array" aca="1" ref="T244" ca="1">MMS_Dairy_Methane_Equations.VEERG_4_3_1_1__2_MethaneFromManureProduction(R$133,T179,_xlfn.XLOOKUP($P244,$O$228:$O$232,$P$228:$P$232),$I$221,$I$222)</f>
        <v>2.7919479437072542E-3</v>
      </c>
      <c r="U244" s="15" cm="1">
        <f t="array" aca="1" ref="U244" ca="1">MMS_Dairy_Methane_Equations.VEERG_4_3_1_1__2_MethaneFromManureProduction(S$133,U179,_xlfn.XLOOKUP($P244,$O$228:$O$232,$P$228:$P$232),$I$221,$I$222)</f>
        <v>1.6745919800920711E-3</v>
      </c>
      <c r="V244" s="16"/>
    </row>
    <row r="245" spans="3:23" ht="20.100000000000001" customHeight="1" x14ac:dyDescent="0.25">
      <c r="D245" s="15" t="str">
        <f>INDEX(X_Table_Dairy_ProductionSystems_Method1,4,1)</f>
        <v>Feed pad</v>
      </c>
      <c r="E245" s="15" t="s">
        <v>75</v>
      </c>
      <c r="F245" s="15" t="e" cm="1">
        <f t="array" aca="1" ref="F245" ca="1">MMS_Dairy_Methane_Equations.VEERG_4_3_1_1__2_MethaneFromManureProduction(D$133,F206,_xlfn.XLOOKUP($E245,$D$228:$D$232,$E$228:$E$232),$I$221,$I$222)</f>
        <v>#N/A</v>
      </c>
      <c r="G245" s="15" t="e" cm="1">
        <f t="array" aca="1" ref="G245" ca="1">MMS_Dairy_Methane_Equations.VEERG_4_3_1_1__2_MethaneFromManureProduction(E$133,G206,_xlfn.XLOOKUP($E245,$D$228:$D$232,$E$228:$E$232),$I$221,$I$222)</f>
        <v>#N/A</v>
      </c>
      <c r="H245" s="15" t="e" cm="1">
        <f t="array" aca="1" ref="H245" ca="1">MMS_Dairy_Methane_Equations.VEERG_4_3_1_1__2_MethaneFromManureProduction(F$133,H206,_xlfn.XLOOKUP($E245,$D$228:$D$232,$E$228:$E$232),$I$221,$I$222)</f>
        <v>#N/A</v>
      </c>
      <c r="I245" s="15" t="e" cm="1">
        <f t="array" aca="1" ref="I245" ca="1">MMS_Dairy_Methane_Equations.VEERG_4_3_1_1__2_MethaneFromManureProduction(G$133,I206,_xlfn.XLOOKUP($E245,$D$228:$D$232,$E$228:$E$232),$I$221,$I$222)</f>
        <v>#N/A</v>
      </c>
      <c r="J245" s="15" t="e" cm="1">
        <f t="array" aca="1" ref="J245" ca="1">MMS_Dairy_Methane_Equations.VEERG_4_3_1_1__2_MethaneFromManureProduction(H$133,J206,_xlfn.XLOOKUP($E245,$D$228:$D$232,$E$228:$E$232),$I$221,$I$222)</f>
        <v>#N/A</v>
      </c>
      <c r="K245" s="16"/>
      <c r="O245" s="15" t="str">
        <f>INDEX(X_Table_Dairy_ProductionSystems_Method1,4,1)</f>
        <v>Feed pad</v>
      </c>
      <c r="P245" s="15" t="s">
        <v>75</v>
      </c>
      <c r="Q245" s="15" cm="1">
        <f t="array" aca="1" ref="Q245" ca="1">MMS_Dairy_Methane_Equations.VEERG_4_3_1_1__2_MethaneFromManureProduction(O$133,Q206,_xlfn.XLOOKUP($P245,$O$228:$O$232,$P$228:$P$232),$I$221,$I$222)</f>
        <v>2.0388291568858899E-3</v>
      </c>
      <c r="R245" s="15" cm="1">
        <f t="array" aca="1" ref="R245" ca="1">MMS_Dairy_Methane_Equations.VEERG_4_3_1_1__2_MethaneFromManureProduction(P$133,R206,_xlfn.XLOOKUP($P245,$O$228:$O$232,$P$228:$P$232),$I$221,$I$222)</f>
        <v>8.0309813920771526E-4</v>
      </c>
      <c r="S245" s="15" cm="1">
        <f t="array" aca="1" ref="S245" ca="1">MMS_Dairy_Methane_Equations.VEERG_4_3_1_1__2_MethaneFromManureProduction(Q$133,S206,_xlfn.XLOOKUP($P245,$O$228:$O$232,$P$228:$P$232),$I$221,$I$222)</f>
        <v>4.3551157539184287E-4</v>
      </c>
      <c r="T245" s="15" cm="1">
        <f t="array" aca="1" ref="T245" ca="1">MMS_Dairy_Methane_Equations.VEERG_4_3_1_1__2_MethaneFromManureProduction(R$133,T206,_xlfn.XLOOKUP($P245,$O$228:$O$232,$P$228:$P$232),$I$221,$I$222)</f>
        <v>9.7718178029753897E-4</v>
      </c>
      <c r="U245" s="15" cm="1">
        <f t="array" aca="1" ref="U245" ca="1">MMS_Dairy_Methane_Equations.VEERG_4_3_1_1__2_MethaneFromManureProduction(S$133,U206,_xlfn.XLOOKUP($P245,$O$228:$O$232,$P$228:$P$232),$I$221,$I$222)</f>
        <v>5.8610719303222485E-4</v>
      </c>
      <c r="V245" s="16"/>
    </row>
    <row r="246" spans="3:23" ht="20.100000000000001" customHeight="1" x14ac:dyDescent="0.25"/>
    <row r="247" spans="3:23" ht="20.100000000000001" customHeight="1" x14ac:dyDescent="0.25"/>
    <row r="248" spans="3:23" ht="20.100000000000001" customHeight="1" x14ac:dyDescent="0.25">
      <c r="C248" s="89"/>
      <c r="D248" s="89"/>
      <c r="E248" s="89"/>
      <c r="F248" s="89"/>
      <c r="G248" s="89"/>
      <c r="H248" s="89"/>
      <c r="I248" s="89"/>
      <c r="J248" s="89"/>
      <c r="K248" s="89"/>
      <c r="L248" s="89"/>
      <c r="N248" s="89"/>
      <c r="O248" s="89"/>
      <c r="P248" s="89"/>
      <c r="Q248" s="89"/>
      <c r="R248" s="89"/>
      <c r="S248" s="89"/>
      <c r="T248" s="89"/>
      <c r="U248" s="89"/>
      <c r="V248" s="89"/>
      <c r="W248" s="89"/>
    </row>
    <row r="249" spans="3:23" ht="20.100000000000001" customHeight="1" x14ac:dyDescent="0.25">
      <c r="D249" s="2" t="str" cm="1">
        <f t="array" ref="D249">MMS_Dairy_Methane_Equations.VEERG_4_3_1_1__1_TotalAnnualMethaneFromManureManagement_Title()</f>
        <v>Total annual methane production from manure management</v>
      </c>
    </row>
    <row r="250" spans="3:23" ht="20.100000000000001" customHeight="1" x14ac:dyDescent="0.25">
      <c r="D250" s="17" t="str" cm="1">
        <f t="array" ref="D250">MMS_Dairy_Methane_Equations.VEERG_4_3_1_1__1_TotalAnnualMethaneFromManureManagement_Source()</f>
        <v>VEERG 2026: 4.3.1.1, Equation (1)</v>
      </c>
    </row>
    <row r="251" spans="3:23" ht="20.100000000000001" customHeight="1" x14ac:dyDescent="0.25">
      <c r="D251" s="25"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17" t="s">
        <v>343</v>
      </c>
      <c r="E252" s="117" t="str" cm="1">
        <f t="array" aca="1" ref="E252" ca="1">Common_InputFunctions.Utility_DisplayFunctionName($F$291)</f>
        <v>=MMS_Dairy_Methane_Equations.VEERG_4_3_1_1__1_TotalAnnualMethaneFromManureManagementVariation</v>
      </c>
    </row>
    <row r="253" spans="3:23" ht="20.100000000000001" customHeight="1" x14ac:dyDescent="0.25">
      <c r="D253" s="2"/>
    </row>
    <row r="254" spans="3:23" ht="20.100000000000001" customHeight="1" x14ac:dyDescent="0.25">
      <c r="D254" s="2"/>
    </row>
    <row r="255" spans="3:23" ht="20.100000000000001" customHeight="1" x14ac:dyDescent="0.25">
      <c r="D255" s="76" t="s">
        <v>344</v>
      </c>
      <c r="E255" s="1" t="str" cm="1">
        <f t="array" ref="E255">MMS_Dairy_Methane_Equations.VEERG_4_3_1_1__1_TotalAnnualMethaneFromManureManagement_Variable()</f>
        <v>E_CH4</v>
      </c>
    </row>
    <row r="256" spans="3:23" ht="20.100000000000001" customHeight="1" x14ac:dyDescent="0.25">
      <c r="D256" s="76" t="s">
        <v>118</v>
      </c>
      <c r="E256" s="9" t="str" cm="1">
        <f t="array" ref="E256">MMS_Dairy_Methane_Equations.VEERG_4_3_1_1__1_TotalAnnualMethaneFromManureManagement_Unit()</f>
        <v>t CH4</v>
      </c>
    </row>
    <row r="257" spans="4:15" ht="20.100000000000001" customHeight="1" x14ac:dyDescent="0.25"/>
    <row r="258" spans="4:15" ht="20.100000000000001" customHeight="1" x14ac:dyDescent="0.25">
      <c r="D258" s="119" t="str" cm="1">
        <f t="array" ref="D258:E265">_xlfn.CHOOSECOLS(MMS_Dairy_Methane_Equations.VEERG_4_3_1_1__1_TotalAnnualMethaneFromManureManagement_Arguments(),1,2)</f>
        <v>N_j124</v>
      </c>
      <c r="E258" s="124" t="str">
        <v>number of dairy cattle in classes j=1,2,4</v>
      </c>
      <c r="F258" s="132"/>
      <c r="G258" s="125"/>
      <c r="H258" s="119" t="str" cm="1">
        <f t="array" ref="H258:I265">_xlfn.CHOOSECOLS(MMS_Dairy_Methane_Equations.VEERG_4_3_1_1__1_TotalAnnualMethaneFromManureManagement_Arguments(),3,4)</f>
        <v>head</v>
      </c>
      <c r="I258" s="120" t="str">
        <v>Input</v>
      </c>
      <c r="J258" s="126" t="str" cm="1">
        <f t="array" aca="1" ref="J258" ca="1">HYPERLINK(Common_InputFunctions.Utility_SourceHyperlink($D$267),$D$267)</f>
        <v>Table_N_j</v>
      </c>
    </row>
    <row r="259" spans="4:15" ht="20.100000000000001" customHeight="1" x14ac:dyDescent="0.25">
      <c r="D259" s="119" t="str">
        <v>M_j124m</v>
      </c>
      <c r="E259" s="124" t="str">
        <v>methane production from manure of weaned dairy cattle in classes j=1,2,4 in MMS m</v>
      </c>
      <c r="F259" s="132"/>
      <c r="G259" s="125"/>
      <c r="H259" s="119" t="str">
        <v>kg CH4/head/day</v>
      </c>
      <c r="I259" s="127" t="str">
        <v>Calculated from 4.3.1.1 (2)</v>
      </c>
      <c r="J259" s="126" t="str" cm="1">
        <f t="array" aca="1" ref="J259" ca="1">HYPERLINK(Common_InputFunctions.Utility_SourceHyperlink($D$234),$D$234)</f>
        <v>M1_M_j_m</v>
      </c>
    </row>
    <row r="260" spans="4:15" ht="20.100000000000001" customHeight="1" x14ac:dyDescent="0.25">
      <c r="D260" s="119" t="str">
        <v>D_j124</v>
      </c>
      <c r="E260" s="124" t="str">
        <v>duration of stay on farm for classes j=1,2,4</v>
      </c>
      <c r="F260" s="132"/>
      <c r="G260" s="125"/>
      <c r="H260" s="119" t="str">
        <v>days</v>
      </c>
      <c r="I260" s="120" t="str">
        <v>Input</v>
      </c>
      <c r="J260" s="126" t="str" cm="1">
        <f t="array" aca="1" ref="J260" ca="1">HYPERLINK(Common_InputFunctions.Utility_SourceHyperlink($D$272),$D$272)</f>
        <v>M1_Table_D_j</v>
      </c>
    </row>
    <row r="261" spans="4:15" ht="20.100000000000001" customHeight="1" x14ac:dyDescent="0.25">
      <c r="D261" s="119" t="str">
        <v>N_j35</v>
      </c>
      <c r="E261" s="124" t="str">
        <v>number of dairy cattle in classes j=3,5</v>
      </c>
      <c r="F261" s="132"/>
      <c r="G261" s="125"/>
      <c r="H261" s="119" t="str">
        <v>head</v>
      </c>
      <c r="I261" s="120" t="str">
        <v>Input</v>
      </c>
      <c r="J261" s="126" t="str" cm="1">
        <f t="array" aca="1" ref="J261" ca="1">HYPERLINK(Common_InputFunctions.Utility_SourceHyperlink($D$267),$D$267)</f>
        <v>Table_N_j</v>
      </c>
    </row>
    <row r="262" spans="4:15" ht="20.100000000000001" customHeight="1" x14ac:dyDescent="0.25">
      <c r="D262" s="119" t="str">
        <v>M_j35m</v>
      </c>
      <c r="E262" s="124" t="str">
        <v>methane production from manure of weaned dairy cattle in classes j=3,5 in MMS m</v>
      </c>
      <c r="F262" s="132"/>
      <c r="G262" s="125"/>
      <c r="H262" s="119" t="str">
        <v>kg CH4/head/day</v>
      </c>
      <c r="I262" s="127" t="str">
        <v>Calculated from 4.3.1.1 (2)</v>
      </c>
      <c r="J262" s="126" t="str" cm="1">
        <f t="array" aca="1" ref="J262" ca="1">HYPERLINK(Common_InputFunctions.Utility_SourceHyperlink($D$234),$D$234)</f>
        <v>M1_M_j_m</v>
      </c>
    </row>
    <row r="263" spans="4:15" ht="20.100000000000001" customHeight="1" x14ac:dyDescent="0.25">
      <c r="D263" s="119" t="str">
        <v>D_j35</v>
      </c>
      <c r="E263" s="124" t="str">
        <v>duration of stay on farm for classes j=3,5</v>
      </c>
      <c r="F263" s="132"/>
      <c r="G263" s="125"/>
      <c r="H263" s="119" t="str">
        <v>days</v>
      </c>
      <c r="I263" s="120" t="str">
        <v>Input</v>
      </c>
      <c r="J263" s="126" t="str" cm="1">
        <f t="array" aca="1" ref="J263" ca="1">HYPERLINK(Common_InputFunctions.Utility_SourceHyperlink($D$272),$D$272)</f>
        <v>M1_Table_D_j</v>
      </c>
    </row>
    <row r="264" spans="4:15" ht="20.100000000000001" customHeight="1" x14ac:dyDescent="0.25">
      <c r="D264" s="119" t="str">
        <v>MPW_manure_j35</v>
      </c>
      <c r="E264" s="124" t="str">
        <v>methane production from manure of pre-weaned heifer and bull calves</v>
      </c>
      <c r="F264" s="132"/>
      <c r="G264" s="125"/>
      <c r="H264" s="119" t="str">
        <v>kg CH4/head/day</v>
      </c>
      <c r="I264" s="127" t="str">
        <v>Constant</v>
      </c>
      <c r="J264" s="126" t="str" cm="1">
        <f t="array" aca="1" ref="J264" ca="1">HYPERLINK(Common_InputFunctions.Utility_SourceHyperlink($D$277),$D$277)</f>
        <v>Table_MPW_manure_j-3-5</v>
      </c>
    </row>
    <row r="265" spans="4:15" ht="20.100000000000001" customHeight="1" x14ac:dyDescent="0.25">
      <c r="D265" s="119" t="str">
        <v>DPW_j35</v>
      </c>
      <c r="E265" s="124" t="str">
        <v>duration of stay on farm for pre-weaned heifer and bull calves</v>
      </c>
      <c r="F265" s="132"/>
      <c r="G265" s="125"/>
      <c r="H265" s="119" t="str">
        <v>days</v>
      </c>
      <c r="I265" s="120" t="str">
        <v>Input</v>
      </c>
      <c r="J265" s="126" t="str" cm="1">
        <f t="array" aca="1" ref="J265" ca="1">HYPERLINK(Common_InputFunctions.Utility_SourceHyperlink($D$282),$D$282)</f>
        <v>M1_Table_DPW_j</v>
      </c>
    </row>
    <row r="266" spans="4:15" ht="20.100000000000001" customHeight="1" x14ac:dyDescent="0.25"/>
    <row r="267" spans="4:15" ht="20.100000000000001" customHeight="1" x14ac:dyDescent="0.25">
      <c r="D267" s="121" t="s">
        <v>417</v>
      </c>
    </row>
    <row r="268" spans="4:15" ht="20.100000000000001" customHeight="1" x14ac:dyDescent="0.25">
      <c r="D268" s="122" t="s">
        <v>418</v>
      </c>
    </row>
    <row r="269" spans="4:15" ht="20.100000000000001" customHeight="1" x14ac:dyDescent="0.25">
      <c r="D269" s="81" t="s">
        <v>295</v>
      </c>
      <c r="E269" s="81" t="s">
        <v>296</v>
      </c>
      <c r="F269" s="81" t="s">
        <v>297</v>
      </c>
      <c r="G269" s="81" t="s">
        <v>298</v>
      </c>
      <c r="H269" s="81" t="s">
        <v>299</v>
      </c>
    </row>
    <row r="270" spans="4:15" ht="20.100000000000001" customHeight="1" x14ac:dyDescent="0.25">
      <c r="D270" s="133">
        <f>INDEX(X_Table_Dairy_HerdMovement,2,2)</f>
        <v>100</v>
      </c>
      <c r="E270" s="133">
        <f>INDEX(X_Table_Dairy_HerdMovement,2,3)</f>
        <v>100</v>
      </c>
      <c r="F270" s="133">
        <f>INDEX(X_Table_Dairy_HerdMovement,2,4)</f>
        <v>100</v>
      </c>
      <c r="G270" s="133">
        <f>INDEX(X_Table_Dairy_HerdMovement,2,5)</f>
        <v>100</v>
      </c>
      <c r="H270" s="133">
        <f>INDEX(X_Table_Dairy_HerdMovement,2,6)</f>
        <v>100</v>
      </c>
      <c r="I270" s="16" t="s">
        <v>419</v>
      </c>
    </row>
    <row r="271" spans="4:15" ht="20.100000000000001" customHeight="1" x14ac:dyDescent="0.25"/>
    <row r="272" spans="4:15" x14ac:dyDescent="0.25">
      <c r="D272" s="121" t="s">
        <v>420</v>
      </c>
      <c r="O272" s="121" t="s">
        <v>421</v>
      </c>
    </row>
    <row r="273" spans="1:20" x14ac:dyDescent="0.25">
      <c r="D273" s="122" t="s">
        <v>422</v>
      </c>
      <c r="O273" s="122" t="s">
        <v>423</v>
      </c>
    </row>
    <row r="274" spans="1:20" x14ac:dyDescent="0.25">
      <c r="D274" s="81" t="s">
        <v>295</v>
      </c>
      <c r="E274" s="81" t="s">
        <v>296</v>
      </c>
      <c r="F274" s="81" t="s">
        <v>297</v>
      </c>
      <c r="G274" s="81" t="s">
        <v>298</v>
      </c>
      <c r="H274" s="81" t="s">
        <v>299</v>
      </c>
      <c r="O274" s="81" t="s">
        <v>295</v>
      </c>
      <c r="P274" s="81" t="s">
        <v>296</v>
      </c>
      <c r="Q274" s="81" t="s">
        <v>297</v>
      </c>
      <c r="R274" s="81" t="s">
        <v>298</v>
      </c>
      <c r="S274" s="81" t="s">
        <v>299</v>
      </c>
    </row>
    <row r="275" spans="1:20" x14ac:dyDescent="0.25">
      <c r="A275" s="128" t="str">
        <f>HYPERLINK("#A1", "▲ Back to top")</f>
        <v>▲ Back to top</v>
      </c>
      <c r="D275" s="15">
        <f>INDEX(X_Table_Dairy_DurationOfStay_Method1,2,2)</f>
        <v>365</v>
      </c>
      <c r="E275" s="15">
        <f>INDEX(X_Table_Dairy_DurationOfStay_Method1,2,3)</f>
        <v>365</v>
      </c>
      <c r="F275" s="15">
        <f>INDEX(X_Table_Dairy_DurationOfStay_Method1,2,4)</f>
        <v>281</v>
      </c>
      <c r="G275" s="15">
        <f>INDEX(X_Table_Dairy_DurationOfStay_Method1,2,5)</f>
        <v>365</v>
      </c>
      <c r="H275" s="15">
        <f>INDEX(X_Table_Dairy_DurationOfStay_Method1,2,6)</f>
        <v>281</v>
      </c>
      <c r="I275" s="16" t="s">
        <v>112</v>
      </c>
      <c r="O275" s="15">
        <f>INDEX(X_Table_Dairy_DurationOfStay_Method2,2,2)</f>
        <v>365</v>
      </c>
      <c r="P275" s="15">
        <f>INDEX(X_Table_Dairy_DurationOfStay_Method2,2,3)</f>
        <v>365</v>
      </c>
      <c r="Q275" s="15">
        <f>INDEX(X_Table_Dairy_DurationOfStay_Method2,2,4)</f>
        <v>281</v>
      </c>
      <c r="R275" s="15">
        <f>INDEX(X_Table_Dairy_DurationOfStay_Method2,2,5)</f>
        <v>365</v>
      </c>
      <c r="S275" s="15">
        <f>INDEX(X_Table_Dairy_DurationOfStay_Method2,2,6)</f>
        <v>281</v>
      </c>
      <c r="T275" s="16" t="s">
        <v>112</v>
      </c>
    </row>
    <row r="277" spans="1:20" x14ac:dyDescent="0.25">
      <c r="D277" s="121" t="s">
        <v>424</v>
      </c>
    </row>
    <row r="278" spans="1:20" x14ac:dyDescent="0.25">
      <c r="D278" s="122" t="s">
        <v>425</v>
      </c>
    </row>
    <row r="279" spans="1:20" x14ac:dyDescent="0.25">
      <c r="D279" s="123" t="s">
        <v>295</v>
      </c>
      <c r="E279" s="123" t="s">
        <v>296</v>
      </c>
      <c r="F279" s="123" t="s">
        <v>297</v>
      </c>
      <c r="G279" s="123" t="s">
        <v>298</v>
      </c>
      <c r="H279" s="123" t="s">
        <v>299</v>
      </c>
    </row>
    <row r="280" spans="1:20" x14ac:dyDescent="0.25">
      <c r="D280" s="15">
        <v>0</v>
      </c>
      <c r="E280" s="15">
        <v>0</v>
      </c>
      <c r="F280" s="15">
        <f>'Constants - Dairy'!$E$63</f>
        <v>1.7600000000000001E-2</v>
      </c>
      <c r="G280" s="15">
        <v>0</v>
      </c>
      <c r="H280" s="15">
        <f>'Constants - Dairy'!$E$64</f>
        <v>2.0400000000000001E-2</v>
      </c>
      <c r="I280" s="16" t="s">
        <v>426</v>
      </c>
    </row>
    <row r="282" spans="1:20" x14ac:dyDescent="0.25">
      <c r="D282" s="121" t="s">
        <v>427</v>
      </c>
      <c r="O282" s="121" t="s">
        <v>427</v>
      </c>
    </row>
    <row r="283" spans="1:20" x14ac:dyDescent="0.25">
      <c r="D283" s="122" t="s">
        <v>428</v>
      </c>
      <c r="O283" s="122" t="s">
        <v>428</v>
      </c>
    </row>
    <row r="284" spans="1:20" x14ac:dyDescent="0.25">
      <c r="D284" s="123" t="s">
        <v>295</v>
      </c>
      <c r="E284" s="123" t="s">
        <v>296</v>
      </c>
      <c r="F284" s="123" t="s">
        <v>297</v>
      </c>
      <c r="G284" s="123" t="s">
        <v>298</v>
      </c>
      <c r="H284" s="123" t="s">
        <v>299</v>
      </c>
      <c r="O284" s="81" t="s">
        <v>295</v>
      </c>
      <c r="P284" s="81" t="s">
        <v>296</v>
      </c>
      <c r="Q284" s="81" t="s">
        <v>297</v>
      </c>
      <c r="R284" s="81" t="s">
        <v>298</v>
      </c>
      <c r="S284" s="81" t="s">
        <v>299</v>
      </c>
    </row>
    <row r="285" spans="1:20" x14ac:dyDescent="0.25">
      <c r="D285" s="15">
        <f>INDEX(X_Table_Dairy_DurationOfStay_Method1,3,2)</f>
        <v>0</v>
      </c>
      <c r="E285" s="15">
        <f>INDEX(X_Table_Dairy_DurationOfStay_Method1,3,3)</f>
        <v>0</v>
      </c>
      <c r="F285" s="15">
        <f>INDEX(X_Table_Dairy_DurationOfStay_Method1,3,4)</f>
        <v>84</v>
      </c>
      <c r="G285" s="15">
        <f>INDEX(X_Table_Dairy_DurationOfStay_Method1,3,5)</f>
        <v>0</v>
      </c>
      <c r="H285" s="15">
        <f>INDEX(X_Table_Dairy_DurationOfStay_Method1,3,6)</f>
        <v>84</v>
      </c>
      <c r="I285" s="16" t="s">
        <v>112</v>
      </c>
      <c r="O285" s="15">
        <f>INDEX(X_Table_Dairy_DurationOfStay_Method2,3,2)</f>
        <v>0</v>
      </c>
      <c r="P285" s="15">
        <f>INDEX(X_Table_Dairy_DurationOfStay_Method2,3,3)</f>
        <v>0</v>
      </c>
      <c r="Q285" s="15">
        <f>INDEX(X_Table_Dairy_DurationOfStay_Method2,3,4)</f>
        <v>84</v>
      </c>
      <c r="R285" s="15">
        <f>INDEX(X_Table_Dairy_DurationOfStay_Method2,3,5)</f>
        <v>0</v>
      </c>
      <c r="S285" s="15">
        <f>INDEX(X_Table_Dairy_DurationOfStay_Method2,3,6)</f>
        <v>84</v>
      </c>
      <c r="T285" s="16" t="s">
        <v>112</v>
      </c>
    </row>
    <row r="287" spans="1:20" x14ac:dyDescent="0.25">
      <c r="D287" s="121" t="s">
        <v>429</v>
      </c>
      <c r="O287" s="121" t="s">
        <v>429</v>
      </c>
    </row>
    <row r="288" spans="1:20" x14ac:dyDescent="0.25">
      <c r="D288" s="122" t="s">
        <v>430</v>
      </c>
      <c r="O288" s="122" t="s">
        <v>431</v>
      </c>
    </row>
    <row r="289" spans="4:21" x14ac:dyDescent="0.25">
      <c r="D289" s="123" t="s">
        <v>161</v>
      </c>
      <c r="E289" s="123" t="s">
        <v>388</v>
      </c>
      <c r="F289" s="123" t="s">
        <v>295</v>
      </c>
      <c r="G289" s="123" t="s">
        <v>296</v>
      </c>
      <c r="H289" s="123" t="s">
        <v>297</v>
      </c>
      <c r="I289" s="123" t="s">
        <v>298</v>
      </c>
      <c r="J289" s="123" t="s">
        <v>299</v>
      </c>
      <c r="O289" s="123" t="s">
        <v>161</v>
      </c>
      <c r="P289" s="123" t="s">
        <v>388</v>
      </c>
      <c r="Q289" s="123" t="s">
        <v>295</v>
      </c>
      <c r="R289" s="123" t="s">
        <v>296</v>
      </c>
      <c r="S289" s="123" t="s">
        <v>297</v>
      </c>
      <c r="T289" s="123" t="s">
        <v>298</v>
      </c>
      <c r="U289" s="123" t="s">
        <v>299</v>
      </c>
    </row>
    <row r="290" spans="4:21" x14ac:dyDescent="0.25">
      <c r="D290" s="15" t="str">
        <f>INDEX(X_Table_Dairy_ProductionSystems_Method1,2,1)</f>
        <v>Pasture</v>
      </c>
      <c r="E290" s="15" t="str">
        <f>'Constants - Common Livestock'!$E$27</f>
        <v>Pasture range and paddock</v>
      </c>
      <c r="F290" s="15" t="e" cm="1">
        <f t="array" aca="1" ref="F290" ca="1">MMS_Dairy_Methane_Equations.VEERG_4_3_1_1__1_TotalAnnualMethaneFromManureManagementVariation(D$270,F237,D$275,0,0,0,0,0)</f>
        <v>#N/A</v>
      </c>
      <c r="G290" s="15" t="e" cm="1">
        <f t="array" aca="1" ref="G290" ca="1">MMS_Dairy_Methane_Equations.VEERG_4_3_1_1__1_TotalAnnualMethaneFromManureManagementVariation(E$270,G237,E$275,0,0,0,0,0)</f>
        <v>#N/A</v>
      </c>
      <c r="H290" s="15" t="e" cm="1">
        <f t="array" aca="1" ref="H290" ca="1">MMS_Dairy_Methane_Equations.VEERG_4_3_1_1__1_TotalAnnualMethaneFromManureManagementVariation(0,0,0,F$270,H237,F$275,F$280,F$285)</f>
        <v>#N/A</v>
      </c>
      <c r="I290" s="15" t="e" cm="1">
        <f t="array" aca="1" ref="I290" ca="1">MMS_Dairy_Methane_Equations.VEERG_4_3_1_1__1_TotalAnnualMethaneFromManureManagementVariation(G$270,I237,G$275,0,0,0,0,0)</f>
        <v>#N/A</v>
      </c>
      <c r="J290" s="15" t="e" cm="1">
        <f t="array" aca="1" ref="J290" ca="1">MMS_Dairy_Methane_Equations.VEERG_4_3_1_1__1_TotalAnnualMethaneFromManureManagementVariation(0,0,0,H$270,J237,H$275,H$280,H$285)</f>
        <v>#N/A</v>
      </c>
      <c r="O290" s="15" t="str">
        <f>INDEX(X_Table_Dairy_ProductionSystems_Method1,2,1)</f>
        <v>Pasture</v>
      </c>
      <c r="P290" s="15" t="str">
        <f>'Constants - Common Livestock'!$E$27</f>
        <v>Pasture range and paddock</v>
      </c>
      <c r="Q290" s="15" t="e" cm="1">
        <f t="array" aca="1" ref="Q290" ca="1">MMS_Dairy_Methane_Equations.VEERG_4_3_1_1__1_TotalAnnualMethaneFromManureManagementVariation(D$270,Q237,O$275,0,0,0,0,0)</f>
        <v>#N/A</v>
      </c>
      <c r="R290" s="15" t="e" cm="1">
        <f t="array" aca="1" ref="R290" ca="1">MMS_Dairy_Methane_Equations.VEERG_4_3_1_1__1_TotalAnnualMethaneFromManureManagementVariation(E$270,R237,P$275,0,0,0,0,0)</f>
        <v>#N/A</v>
      </c>
      <c r="S290" s="15" t="e" cm="1">
        <f t="array" aca="1" ref="S290" ca="1">MMS_Dairy_Methane_Equations.VEERG_4_3_1_1__1_TotalAnnualMethaneFromManureManagementVariation(0,0,0,F$270,S237,Q$275,F$280,Q$285)</f>
        <v>#N/A</v>
      </c>
      <c r="T290" s="15" t="e" cm="1">
        <f t="array" aca="1" ref="T290" ca="1">MMS_Dairy_Methane_Equations.VEERG_4_3_1_1__1_TotalAnnualMethaneFromManureManagementVariation(G$270,T237,R$275,0,0,0,0,0)</f>
        <v>#N/A</v>
      </c>
      <c r="U290" s="15" t="e" cm="1">
        <f t="array" aca="1" ref="U290" ca="1">MMS_Dairy_Methane_Equations.VEERG_4_3_1_1__1_TotalAnnualMethaneFromManureManagementVariation(0,0,0,H$270,U237,S$275,H$280,S$285)</f>
        <v>#N/A</v>
      </c>
    </row>
    <row r="291" spans="4:21" x14ac:dyDescent="0.25">
      <c r="D291" s="15" t="str">
        <f>INDEX(X_Table_Dairy_ProductionSystems_Method1,3,1)</f>
        <v>Milking shed</v>
      </c>
      <c r="E291" s="15" t="str">
        <f>INDEX(X_Table_Dairy_Stage1MMS_1_AnaerobicLagoon,2,1)</f>
        <v>Anaerobic lagoon</v>
      </c>
      <c r="F291" s="15" t="e" cm="1">
        <f t="array" aca="1" ref="F291" ca="1">MMS_Dairy_Methane_Equations.VEERG_4_3_1_1__1_TotalAnnualMethaneFromManureManagementVariation(D$270,F238,D$275,0,0,0,0,0)</f>
        <v>#N/A</v>
      </c>
      <c r="G291" s="15" t="e" cm="1">
        <f t="array" aca="1" ref="G291" ca="1">MMS_Dairy_Methane_Equations.VEERG_4_3_1_1__1_TotalAnnualMethaneFromManureManagementVariation(E$270,G238,E$275,0,0,0,0,0)</f>
        <v>#N/A</v>
      </c>
      <c r="H291" s="15" t="e" cm="1">
        <f t="array" aca="1" ref="H291" ca="1">MMS_Dairy_Methane_Equations.VEERG_4_3_1_1__1_TotalAnnualMethaneFromManureManagementVariation(0,0,0,F$270,H238,F$275,F$280,F$285)</f>
        <v>#N/A</v>
      </c>
      <c r="I291" s="15" t="e" cm="1">
        <f t="array" aca="1" ref="I291" ca="1">MMS_Dairy_Methane_Equations.VEERG_4_3_1_1__1_TotalAnnualMethaneFromManureManagementVariation(G$270,I238,G$275,0,0,0,0,0)</f>
        <v>#N/A</v>
      </c>
      <c r="J291" s="15" t="e" cm="1">
        <f t="array" aca="1" ref="J291" ca="1">MMS_Dairy_Methane_Equations.VEERG_4_3_1_1__1_TotalAnnualMethaneFromManureManagementVariation(0,0,0,H$270,J238,H$275,H$280,H$285)</f>
        <v>#N/A</v>
      </c>
      <c r="O291" s="15" t="str">
        <f>INDEX(X_Table_Dairy_ProductionSystems_Method1,3,1)</f>
        <v>Milking shed</v>
      </c>
      <c r="P291" s="15" t="str">
        <f>INDEX(X_Table_Dairy_Stage1MMS_1_AnaerobicLagoon,2,1)</f>
        <v>Anaerobic lagoon</v>
      </c>
      <c r="Q291" s="15" cm="1">
        <f t="array" aca="1" ref="Q291" ca="1">MMS_Dairy_Methane_Equations.VEERG_4_3_1_1__1_TotalAnnualMethaneFromManureManagementVariation(D$270,Q238,O$275,0,0,0,0,0)</f>
        <v>0.43360300022728104</v>
      </c>
      <c r="R291" s="15" cm="1">
        <f t="array" aca="1" ref="R291" ca="1">MMS_Dairy_Methane_Equations.VEERG_4_3_1_1__1_TotalAnnualMethaneFromManureManagementVariation(E$270,R238,P$275,0,0,0,0,0)</f>
        <v>0.17079693090582065</v>
      </c>
      <c r="S291" s="15" cm="1">
        <f t="array" aca="1" ref="S291" ca="1">MMS_Dairy_Methane_Equations.VEERG_4_3_1_1__1_TotalAnnualMethaneFromManureManagementVariation(0,0,0,F$270,S238,Q$275,F$280,Q$285)</f>
        <v>0.21914575798506286</v>
      </c>
      <c r="T291" s="15" cm="1">
        <f t="array" aca="1" ref="T291" ca="1">MMS_Dairy_Methane_Equations.VEERG_4_3_1_1__1_TotalAnnualMethaneFromManureManagementVariation(G$270,T238,R$275,0,0,0,0,0)</f>
        <v>0.20781974314690607</v>
      </c>
      <c r="U291" s="15" cm="1">
        <f t="array" aca="1" ref="U291" ca="1">MMS_Dairy_Methane_Equations.VEERG_4_3_1_1__1_TotalAnnualMethaneFromManureManagementVariation(0,0,0,H$270,U238,S$275,H$280,S$285)</f>
        <v>0.26732258749737731</v>
      </c>
    </row>
    <row r="292" spans="4:21" x14ac:dyDescent="0.25">
      <c r="D292" s="15" t="str">
        <f>INDEX(X_Table_Dairy_ProductionSystems_Method1,3,1)</f>
        <v>Milking shed</v>
      </c>
      <c r="E292" s="15" t="str">
        <f>INDEX(X_Table_Dairy_Stage1MMS_1_SumpAndDispersal,2,1)</f>
        <v>Sump and dispersal system</v>
      </c>
      <c r="F292" s="15" t="e" cm="1">
        <f t="array" aca="1" ref="F292" ca="1">MMS_Dairy_Methane_Equations.VEERG_4_3_1_1__1_TotalAnnualMethaneFromManureManagementVariation(D$270,F239,D$275,0,0,0,0,0)</f>
        <v>#N/A</v>
      </c>
      <c r="G292" s="15" t="e" cm="1">
        <f t="array" aca="1" ref="G292" ca="1">MMS_Dairy_Methane_Equations.VEERG_4_3_1_1__1_TotalAnnualMethaneFromManureManagementVariation(E$270,G239,E$275,0,0,0,0,0)</f>
        <v>#N/A</v>
      </c>
      <c r="H292" s="15" t="e" cm="1">
        <f t="array" aca="1" ref="H292" ca="1">MMS_Dairy_Methane_Equations.VEERG_4_3_1_1__1_TotalAnnualMethaneFromManureManagementVariation(0,0,0,F$270,H239,F$275,F$280,F$285)</f>
        <v>#N/A</v>
      </c>
      <c r="I292" s="15" t="e" cm="1">
        <f t="array" aca="1" ref="I292" ca="1">MMS_Dairy_Methane_Equations.VEERG_4_3_1_1__1_TotalAnnualMethaneFromManureManagementVariation(G$270,I239,G$275,0,0,0,0,0)</f>
        <v>#N/A</v>
      </c>
      <c r="J292" s="15" t="e" cm="1">
        <f t="array" aca="1" ref="J292" ca="1">MMS_Dairy_Methane_Equations.VEERG_4_3_1_1__1_TotalAnnualMethaneFromManureManagementVariation(0,0,0,H$270,J239,H$275,H$280,H$285)</f>
        <v>#N/A</v>
      </c>
      <c r="O292" s="15" t="str">
        <f>INDEX(X_Table_Dairy_ProductionSystems_Method1,3,1)</f>
        <v>Milking shed</v>
      </c>
      <c r="P292" s="15" t="str">
        <f>INDEX(X_Table_Dairy_Stage1MMS_1_SumpAndDispersal,2,1)</f>
        <v>Sump and dispersal system</v>
      </c>
      <c r="Q292" s="15" cm="1">
        <f t="array" aca="1" ref="Q292" ca="1">MMS_Dairy_Methane_Equations.VEERG_4_3_1_1__1_TotalAnnualMethaneFromManureManagementVariation(D$270,Q239,O$275,0,0,0,0,0)</f>
        <v>6.5697424276860746E-4</v>
      </c>
      <c r="R292" s="15" cm="1">
        <f t="array" aca="1" ref="R292" ca="1">MMS_Dairy_Methane_Equations.VEERG_4_3_1_1__1_TotalAnnualMethaneFromManureManagementVariation(E$270,R239,P$275,0,0,0,0,0)</f>
        <v>2.5878322864518282E-4</v>
      </c>
      <c r="S292" s="15" cm="1">
        <f t="array" aca="1" ref="S292" ca="1">MMS_Dairy_Methane_Equations.VEERG_4_3_1_1__1_TotalAnnualMethaneFromManureManagementVariation(0,0,0,F$270,S239,Q$275,F$280,Q$285)</f>
        <v>0.14794803902725009</v>
      </c>
      <c r="T292" s="15" cm="1">
        <f t="array" aca="1" ref="T292" ca="1">MMS_Dairy_Methane_Equations.VEERG_4_3_1_1__1_TotalAnnualMethaneFromManureManagementVariation(G$270,T239,R$275,0,0,0,0,0)</f>
        <v>3.1487839870743332E-4</v>
      </c>
      <c r="U292" s="15" cm="1">
        <f t="array" aca="1" ref="U292" ca="1">MMS_Dairy_Methane_Equations.VEERG_4_3_1_1__1_TotalAnnualMethaneFromManureManagementVariation(0,0,0,H$270,U239,S$275,H$280,S$285)</f>
        <v>0.17150539785984453</v>
      </c>
    </row>
    <row r="293" spans="4:21" x14ac:dyDescent="0.25">
      <c r="D293" s="15" t="str">
        <f>INDEX(X_Table_Dairy_ProductionSystems_Method1,3,1)</f>
        <v>Milking shed</v>
      </c>
      <c r="E293" s="15" t="str">
        <f>INDEX(X_Table_Dairy_Stage1MMS_1_DrainsToPaddock,2,1)</f>
        <v>Drains to paddock</v>
      </c>
      <c r="F293" s="15" t="e" cm="1">
        <f t="array" aca="1" ref="F293" ca="1">MMS_Dairy_Methane_Equations.VEERG_4_3_1_1__1_TotalAnnualMethaneFromManureManagementVariation(D$270,F240,D$275,0,0,0,0,0)</f>
        <v>#N/A</v>
      </c>
      <c r="G293" s="15" t="e" cm="1">
        <f t="array" aca="1" ref="G293" ca="1">MMS_Dairy_Methane_Equations.VEERG_4_3_1_1__1_TotalAnnualMethaneFromManureManagementVariation(E$270,G240,E$275,0,0,0,0,0)</f>
        <v>#N/A</v>
      </c>
      <c r="H293" s="15" t="e" cm="1">
        <f t="array" aca="1" ref="H293" ca="1">MMS_Dairy_Methane_Equations.VEERG_4_3_1_1__1_TotalAnnualMethaneFromManureManagementVariation(0,0,0,F$270,H240,F$275,F$280,F$285)</f>
        <v>#N/A</v>
      </c>
      <c r="I293" s="15" t="e" cm="1">
        <f t="array" aca="1" ref="I293" ca="1">MMS_Dairy_Methane_Equations.VEERG_4_3_1_1__1_TotalAnnualMethaneFromManureManagementVariation(G$270,I240,G$275,0,0,0,0,0)</f>
        <v>#N/A</v>
      </c>
      <c r="J293" s="15" t="e" cm="1">
        <f t="array" aca="1" ref="J293" ca="1">MMS_Dairy_Methane_Equations.VEERG_4_3_1_1__1_TotalAnnualMethaneFromManureManagementVariation(0,0,0,H$270,J240,H$275,H$280,H$285)</f>
        <v>#N/A</v>
      </c>
      <c r="O293" s="15" t="str">
        <f>INDEX(X_Table_Dairy_ProductionSystems_Method1,3,1)</f>
        <v>Milking shed</v>
      </c>
      <c r="P293" s="15" t="str">
        <f>INDEX(X_Table_Dairy_Stage1MMS_1_DrainsToPaddock,2,1)</f>
        <v>Drains to paddock</v>
      </c>
      <c r="Q293" s="15" cm="1">
        <f t="array" aca="1" ref="Q293" ca="1">MMS_Dairy_Methane_Equations.VEERG_4_3_1_1__1_TotalAnnualMethaneFromManureManagementVariation(D$270,Q240,O$275,0,0,0,0,0)</f>
        <v>6.5697424276860761E-2</v>
      </c>
      <c r="R293" s="15" cm="1">
        <f t="array" aca="1" ref="R293" ca="1">MMS_Dairy_Methane_Equations.VEERG_4_3_1_1__1_TotalAnnualMethaneFromManureManagementVariation(E$270,R240,P$275,0,0,0,0,0)</f>
        <v>2.5878322864518282E-2</v>
      </c>
      <c r="S293" s="15" cm="1">
        <f t="array" aca="1" ref="S293" ca="1">MMS_Dairy_Methane_Equations.VEERG_4_3_1_1__1_TotalAnnualMethaneFromManureManagementVariation(0,0,0,F$270,S240,Q$275,F$280,Q$285)</f>
        <v>0.15864390272500953</v>
      </c>
      <c r="T293" s="15" cm="1">
        <f t="array" aca="1" ref="T293" ca="1">MMS_Dairy_Methane_Equations.VEERG_4_3_1_1__1_TotalAnnualMethaneFromManureManagementVariation(G$270,T240,R$275,0,0,0,0,0)</f>
        <v>3.1487839870743335E-2</v>
      </c>
      <c r="U293" s="15" cm="1">
        <f t="array" aca="1" ref="U293" ca="1">MMS_Dairy_Methane_Equations.VEERG_4_3_1_1__1_TotalAnnualMethaneFromManureManagementVariation(0,0,0,H$270,U240,S$275,H$280,S$285)</f>
        <v>0.18589978598445112</v>
      </c>
    </row>
    <row r="294" spans="4:21" x14ac:dyDescent="0.25">
      <c r="D294" s="15" t="str">
        <f>INDEX(X_Table_Dairy_ProductionSystems_Method1,3,1)</f>
        <v>Milking shed</v>
      </c>
      <c r="E294" s="15" t="s">
        <v>75</v>
      </c>
      <c r="F294" s="15" t="e" cm="1">
        <f t="array" aca="1" ref="F294" ca="1">MMS_Dairy_Methane_Equations.VEERG_4_3_1_1__1_TotalAnnualMethaneFromManureManagementVariation(D$270,F241,D$275,0,0,0,0,0)</f>
        <v>#N/A</v>
      </c>
      <c r="G294" s="15" t="e" cm="1">
        <f t="array" aca="1" ref="G294" ca="1">MMS_Dairy_Methane_Equations.VEERG_4_3_1_1__1_TotalAnnualMethaneFromManureManagementVariation(E$270,G241,E$275,0,0,0,0,0)</f>
        <v>#N/A</v>
      </c>
      <c r="H294" s="15" t="e" cm="1">
        <f t="array" aca="1" ref="H294" ca="1">MMS_Dairy_Methane_Equations.VEERG_4_3_1_1__1_TotalAnnualMethaneFromManureManagementVariation(0,0,0,F$270,H241,F$275,F$280,F$285)</f>
        <v>#N/A</v>
      </c>
      <c r="I294" s="15" t="e" cm="1">
        <f t="array" aca="1" ref="I294" ca="1">MMS_Dairy_Methane_Equations.VEERG_4_3_1_1__1_TotalAnnualMethaneFromManureManagementVariation(G$270,I241,G$275,0,0,0,0,0)</f>
        <v>#N/A</v>
      </c>
      <c r="J294" s="15" t="e" cm="1">
        <f t="array" aca="1" ref="J294" ca="1">MMS_Dairy_Methane_Equations.VEERG_4_3_1_1__1_TotalAnnualMethaneFromManureManagementVariation(0,0,0,H$270,J241,H$275,H$280,H$285)</f>
        <v>#N/A</v>
      </c>
      <c r="O294" s="15" t="str">
        <f>INDEX(X_Table_Dairy_ProductionSystems_Method1,3,1)</f>
        <v>Milking shed</v>
      </c>
      <c r="P294" s="15" t="s">
        <v>75</v>
      </c>
      <c r="Q294" s="15" cm="1">
        <f t="array" aca="1" ref="Q294" ca="1">MMS_Dairy_Methane_Equations.VEERG_4_3_1_1__1_TotalAnnualMethaneFromManureManagementVariation(D$270,Q241,O$275,0,0,0,0,0)</f>
        <v>2.6278969710744299E-2</v>
      </c>
      <c r="R294" s="15" cm="1">
        <f t="array" aca="1" ref="R294" ca="1">MMS_Dairy_Methane_Equations.VEERG_4_3_1_1__1_TotalAnnualMethaneFromManureManagementVariation(E$270,R241,P$275,0,0,0,0,0)</f>
        <v>1.0351329145807312E-2</v>
      </c>
      <c r="S294" s="15" cm="1">
        <f t="array" aca="1" ref="S294" ca="1">MMS_Dairy_Methane_Equations.VEERG_4_3_1_1__1_TotalAnnualMethaneFromManureManagementVariation(0,0,0,F$270,S241,Q$275,F$280,Q$285)</f>
        <v>0.15216156109000381</v>
      </c>
      <c r="T294" s="15" cm="1">
        <f t="array" aca="1" ref="T294" ca="1">MMS_Dairy_Methane_Equations.VEERG_4_3_1_1__1_TotalAnnualMethaneFromManureManagementVariation(G$270,T241,R$275,0,0,0,0,0)</f>
        <v>1.259513594829733E-2</v>
      </c>
      <c r="U294" s="15" cm="1">
        <f t="array" aca="1" ref="U294" ca="1">MMS_Dairy_Methane_Equations.VEERG_4_3_1_1__1_TotalAnnualMethaneFromManureManagementVariation(0,0,0,H$270,U241,S$275,H$280,S$285)</f>
        <v>0.17717591439378047</v>
      </c>
    </row>
    <row r="295" spans="4:21" x14ac:dyDescent="0.25">
      <c r="D295" s="15" t="str">
        <f>INDEX(X_Table_Dairy_ProductionSystems_Method1,4,1)</f>
        <v>Feed pad</v>
      </c>
      <c r="E295" s="15" t="str">
        <f>INDEX(X_Table_Dairy_Stage1MMS_2_AnaerobicLagoon,2,1)</f>
        <v>Anaerobic lagoon</v>
      </c>
      <c r="F295" s="15" t="e" cm="1">
        <f t="array" aca="1" ref="F295" ca="1">MMS_Dairy_Methane_Equations.VEERG_4_3_1_1__1_TotalAnnualMethaneFromManureManagementVariation(D$270,F242,D$275,0,0,0,0,0)</f>
        <v>#N/A</v>
      </c>
      <c r="G295" s="15" t="e" cm="1">
        <f t="array" aca="1" ref="G295" ca="1">MMS_Dairy_Methane_Equations.VEERG_4_3_1_1__1_TotalAnnualMethaneFromManureManagementVariation(E$270,G242,E$275,0,0,0,0,0)</f>
        <v>#N/A</v>
      </c>
      <c r="H295" s="15" t="e" cm="1">
        <f t="array" aca="1" ref="H295" ca="1">MMS_Dairy_Methane_Equations.VEERG_4_3_1_1__1_TotalAnnualMethaneFromManureManagementVariation(0,0,0,F$270,H242,F$275,F$280,F$285)</f>
        <v>#N/A</v>
      </c>
      <c r="I295" s="15" t="e" cm="1">
        <f t="array" aca="1" ref="I295" ca="1">MMS_Dairy_Methane_Equations.VEERG_4_3_1_1__1_TotalAnnualMethaneFromManureManagementVariation(G$270,I242,G$275,0,0,0,0,0)</f>
        <v>#N/A</v>
      </c>
      <c r="J295" s="15" t="e" cm="1">
        <f t="array" aca="1" ref="J295" ca="1">MMS_Dairy_Methane_Equations.VEERG_4_3_1_1__1_TotalAnnualMethaneFromManureManagementVariation(0,0,0,H$270,J242,H$275,H$280,H$285)</f>
        <v>#N/A</v>
      </c>
      <c r="O295" s="15" t="str">
        <f>INDEX(X_Table_Dairy_ProductionSystems_Method1,4,1)</f>
        <v>Feed pad</v>
      </c>
      <c r="P295" s="15" t="str">
        <f>INDEX(X_Table_Dairy_Stage1MMS_2_AnaerobicLagoon,2,1)</f>
        <v>Anaerobic lagoon</v>
      </c>
      <c r="Q295" s="15" cm="1">
        <f t="array" aca="1" ref="Q295" ca="1">MMS_Dairy_Methane_Equations.VEERG_4_3_1_1__1_TotalAnnualMethaneFromManureManagementVariation(D$270,Q242,O$275,0,0,0,0,0)</f>
        <v>1.7541212281921816</v>
      </c>
      <c r="R295" s="15" cm="1">
        <f t="array" aca="1" ref="R295" ca="1">MMS_Dairy_Methane_Equations.VEERG_4_3_1_1__1_TotalAnnualMethaneFromManureManagementVariation(E$270,R242,P$275,0,0,0,0,0)</f>
        <v>0.69095122048263802</v>
      </c>
      <c r="S295" s="15" cm="1">
        <f t="array" aca="1" ref="S295" ca="1">MMS_Dairy_Methane_Equations.VEERG_4_3_1_1__1_TotalAnnualMethaneFromManureManagementVariation(0,0,0,F$270,S242,Q$275,F$280,Q$285)</f>
        <v>0.43630420275775428</v>
      </c>
      <c r="T295" s="15" cm="1">
        <f t="array" aca="1" ref="T295" ca="1">MMS_Dairy_Methane_Equations.VEERG_4_3_1_1__1_TotalAnnualMethaneFromManureManagementVariation(G$270,T242,R$275,0,0,0,0,0)</f>
        <v>0.84072532454884696</v>
      </c>
      <c r="U295" s="15" cm="1">
        <f t="array" aca="1" ref="U295" ca="1">MMS_Dairy_Methane_Equations.VEERG_4_3_1_1__1_TotalAnnualMethaneFromManureManagementVariation(0,0,0,H$270,U242,S$275,H$280,S$285)</f>
        <v>0.5595722857848443</v>
      </c>
    </row>
    <row r="296" spans="4:21" x14ac:dyDescent="0.25">
      <c r="D296" s="15" t="str">
        <f>INDEX(X_Table_Dairy_ProductionSystems_Method1,4,1)</f>
        <v>Feed pad</v>
      </c>
      <c r="E296" s="15" t="str">
        <f>INDEX(X_Table_Dairy_Stage1MMS_2_SumpAndDispersal,2,1)</f>
        <v>Sump and dispersal system</v>
      </c>
      <c r="F296" s="15" t="e" cm="1">
        <f t="array" aca="1" ref="F296" ca="1">MMS_Dairy_Methane_Equations.VEERG_4_3_1_1__1_TotalAnnualMethaneFromManureManagementVariation(D$270,F243,D$275,0,0,0,0,0)</f>
        <v>#N/A</v>
      </c>
      <c r="G296" s="15" t="e" cm="1">
        <f t="array" aca="1" ref="G296" ca="1">MMS_Dairy_Methane_Equations.VEERG_4_3_1_1__1_TotalAnnualMethaneFromManureManagementVariation(E$270,G243,E$275,0,0,0,0,0)</f>
        <v>#N/A</v>
      </c>
      <c r="H296" s="15" t="e" cm="1">
        <f t="array" aca="1" ref="H296" ca="1">MMS_Dairy_Methane_Equations.VEERG_4_3_1_1__1_TotalAnnualMethaneFromManureManagementVariation(0,0,0,F$270,H243,F$275,F$280,F$285)</f>
        <v>#N/A</v>
      </c>
      <c r="I296" s="15" t="e" cm="1">
        <f t="array" aca="1" ref="I296" ca="1">MMS_Dairy_Methane_Equations.VEERG_4_3_1_1__1_TotalAnnualMethaneFromManureManagementVariation(G$270,I243,G$275,0,0,0,0,0)</f>
        <v>#N/A</v>
      </c>
      <c r="J296" s="15" t="e" cm="1">
        <f t="array" aca="1" ref="J296" ca="1">MMS_Dairy_Methane_Equations.VEERG_4_3_1_1__1_TotalAnnualMethaneFromManureManagementVariation(0,0,0,H$270,J243,H$275,H$280,H$285)</f>
        <v>#N/A</v>
      </c>
      <c r="O296" s="15" t="str">
        <f>INDEX(X_Table_Dairy_ProductionSystems_Method1,4,1)</f>
        <v>Feed pad</v>
      </c>
      <c r="P296" s="15" t="str">
        <f>INDEX(X_Table_Dairy_Stage1MMS_2_SumpAndDispersal,2,1)</f>
        <v>Sump and dispersal system</v>
      </c>
      <c r="Q296" s="15" cm="1">
        <f t="array" aca="1" ref="Q296" ca="1">MMS_Dairy_Methane_Equations.VEERG_4_3_1_1__1_TotalAnnualMethaneFromManureManagementVariation(D$270,Q243,O$275,0,0,0,0,0)</f>
        <v>2.126207549323857E-3</v>
      </c>
      <c r="R296" s="15" cm="1">
        <f t="array" aca="1" ref="R296" ca="1">MMS_Dairy_Methane_Equations.VEERG_4_3_1_1__1_TotalAnnualMethaneFromManureManagementVariation(E$270,R243,P$275,0,0,0,0,0)</f>
        <v>8.3751663088804608E-4</v>
      </c>
      <c r="S296" s="15" cm="1">
        <f t="array" aca="1" ref="S296" ca="1">MMS_Dairy_Methane_Equations.VEERG_4_3_1_1__1_TotalAnnualMethaneFromManureManagementVariation(0,0,0,F$270,S243,Q$275,F$280,Q$285)</f>
        <v>0.1481896535791003</v>
      </c>
      <c r="T296" s="15" cm="1">
        <f t="array" aca="1" ref="T296" ca="1">MMS_Dairy_Methane_Equations.VEERG_4_3_1_1__1_TotalAnnualMethaneFromManureManagementVariation(G$270,T243,R$275,0,0,0,0,0)</f>
        <v>1.0190609994531479E-3</v>
      </c>
      <c r="U296" s="15" cm="1">
        <f t="array" aca="1" ref="U296" ca="1">MMS_Dairy_Methane_Equations.VEERG_4_3_1_1__1_TotalAnnualMethaneFromManureManagementVariation(0,0,0,H$270,U243,S$275,H$280,S$285)</f>
        <v>0.1718305603464059</v>
      </c>
    </row>
    <row r="297" spans="4:21" x14ac:dyDescent="0.25">
      <c r="D297" s="15" t="str">
        <f>INDEX(X_Table_Dairy_ProductionSystems_Method1,4,1)</f>
        <v>Feed pad</v>
      </c>
      <c r="E297" s="15" t="str">
        <f>INDEX(X_Table_Dairy_Stage1MMS_2_DrainsToPaddock,2,1)</f>
        <v>Drains to paddock</v>
      </c>
      <c r="F297" s="15" t="e" cm="1">
        <f t="array" aca="1" ref="F297" ca="1">MMS_Dairy_Methane_Equations.VEERG_4_3_1_1__1_TotalAnnualMethaneFromManureManagementVariation(D$270,F244,D$275,0,0,0,0,0)</f>
        <v>#N/A</v>
      </c>
      <c r="G297" s="15" t="e" cm="1">
        <f t="array" aca="1" ref="G297" ca="1">MMS_Dairy_Methane_Equations.VEERG_4_3_1_1__1_TotalAnnualMethaneFromManureManagementVariation(E$270,G244,E$275,0,0,0,0,0)</f>
        <v>#N/A</v>
      </c>
      <c r="H297" s="15" t="e" cm="1">
        <f t="array" aca="1" ref="H297" ca="1">MMS_Dairy_Methane_Equations.VEERG_4_3_1_1__1_TotalAnnualMethaneFromManureManagementVariation(0,0,0,F$270,H244,F$275,F$280,F$285)</f>
        <v>#N/A</v>
      </c>
      <c r="I297" s="15" t="e" cm="1">
        <f t="array" aca="1" ref="I297" ca="1">MMS_Dairy_Methane_Equations.VEERG_4_3_1_1__1_TotalAnnualMethaneFromManureManagementVariation(G$270,I244,G$275,0,0,0,0,0)</f>
        <v>#N/A</v>
      </c>
      <c r="J297" s="15" t="e" cm="1">
        <f t="array" aca="1" ref="J297" ca="1">MMS_Dairy_Methane_Equations.VEERG_4_3_1_1__1_TotalAnnualMethaneFromManureManagementVariation(0,0,0,H$270,J244,H$275,H$280,H$285)</f>
        <v>#N/A</v>
      </c>
      <c r="O297" s="15" t="str">
        <f>INDEX(X_Table_Dairy_ProductionSystems_Method1,4,1)</f>
        <v>Feed pad</v>
      </c>
      <c r="P297" s="15" t="str">
        <f>INDEX(X_Table_Dairy_Stage1MMS_2_DrainsToPaddock,2,1)</f>
        <v>Drains to paddock</v>
      </c>
      <c r="Q297" s="15" cm="1">
        <f t="array" aca="1" ref="Q297" ca="1">MMS_Dairy_Methane_Equations.VEERG_4_3_1_1__1_TotalAnnualMethaneFromManureManagementVariation(D$270,Q244,O$275,0,0,0,0,0)</f>
        <v>0.21262075493238566</v>
      </c>
      <c r="R297" s="15" cm="1">
        <f t="array" aca="1" ref="R297" ca="1">MMS_Dairy_Methane_Equations.VEERG_4_3_1_1__1_TotalAnnualMethaneFromManureManagementVariation(E$270,R244,P$275,0,0,0,0,0)</f>
        <v>8.3751663088804607E-2</v>
      </c>
      <c r="S297" s="15" cm="1">
        <f t="array" aca="1" ref="S297" ca="1">MMS_Dairy_Methane_Equations.VEERG_4_3_1_1__1_TotalAnnualMethaneFromManureManagementVariation(0,0,0,F$270,S244,Q$275,F$280,Q$285)</f>
        <v>0.1828053579100308</v>
      </c>
      <c r="T297" s="15" cm="1">
        <f t="array" aca="1" ref="T297" ca="1">MMS_Dairy_Methane_Equations.VEERG_4_3_1_1__1_TotalAnnualMethaneFromManureManagementVariation(G$270,T244,R$275,0,0,0,0,0)</f>
        <v>0.10190609994531478</v>
      </c>
      <c r="U297" s="15" cm="1">
        <f t="array" aca="1" ref="U297" ca="1">MMS_Dairy_Methane_Equations.VEERG_4_3_1_1__1_TotalAnnualMethaneFromManureManagementVariation(0,0,0,H$270,U244,S$275,H$280,S$285)</f>
        <v>0.21841603464058723</v>
      </c>
    </row>
    <row r="298" spans="4:21" x14ac:dyDescent="0.25">
      <c r="D298" s="15" t="str">
        <f>INDEX(X_Table_Dairy_ProductionSystems_Method1,4,1)</f>
        <v>Feed pad</v>
      </c>
      <c r="E298" s="15" t="s">
        <v>75</v>
      </c>
      <c r="F298" s="15" t="e" cm="1">
        <f t="array" aca="1" ref="F298" ca="1">MMS_Dairy_Methane_Equations.VEERG_4_3_1_1__1_TotalAnnualMethaneFromManureManagementVariation(D$270,F245,D$275,0,0,0,0,0)</f>
        <v>#N/A</v>
      </c>
      <c r="G298" s="15" t="e" cm="1">
        <f t="array" aca="1" ref="G298" ca="1">MMS_Dairy_Methane_Equations.VEERG_4_3_1_1__1_TotalAnnualMethaneFromManureManagementVariation(E$270,G245,E$275,0,0,0,0,0)</f>
        <v>#N/A</v>
      </c>
      <c r="H298" s="15" t="e" cm="1">
        <f t="array" aca="1" ref="H298" ca="1">MMS_Dairy_Methane_Equations.VEERG_4_3_1_1__1_TotalAnnualMethaneFromManureManagementVariation(0,0,0,F$270,H245,F$275,F$280,F$285)</f>
        <v>#N/A</v>
      </c>
      <c r="I298" s="15" t="e" cm="1">
        <f t="array" aca="1" ref="I298" ca="1">MMS_Dairy_Methane_Equations.VEERG_4_3_1_1__1_TotalAnnualMethaneFromManureManagementVariation(G$270,I245,G$275,0,0,0,0,0)</f>
        <v>#N/A</v>
      </c>
      <c r="J298" s="15" t="e" cm="1">
        <f t="array" aca="1" ref="J298" ca="1">MMS_Dairy_Methane_Equations.VEERG_4_3_1_1__1_TotalAnnualMethaneFromManureManagementVariation(0,0,0,H$270,J245,H$275,H$280,H$285)</f>
        <v>#N/A</v>
      </c>
      <c r="O298" s="15" t="str">
        <f>INDEX(X_Table_Dairy_ProductionSystems_Method1,4,1)</f>
        <v>Feed pad</v>
      </c>
      <c r="P298" s="15" t="s">
        <v>75</v>
      </c>
      <c r="Q298" s="15" cm="1">
        <f t="array" aca="1" ref="Q298" ca="1">MMS_Dairy_Methane_Equations.VEERG_4_3_1_1__1_TotalAnnualMethaneFromManureManagementVariation(D$270,Q245,O$275,0,0,0,0,0)</f>
        <v>7.4417264226334975E-2</v>
      </c>
      <c r="R298" s="15" cm="1">
        <f t="array" aca="1" ref="R298" ca="1">MMS_Dairy_Methane_Equations.VEERG_4_3_1_1__1_TotalAnnualMethaneFromManureManagementVariation(E$270,R245,P$275,0,0,0,0,0)</f>
        <v>2.9313082081081607E-2</v>
      </c>
      <c r="S298" s="15" cm="1">
        <f t="array" aca="1" ref="S298" ca="1">MMS_Dairy_Methane_Equations.VEERG_4_3_1_1__1_TotalAnnualMethaneFromManureManagementVariation(0,0,0,F$270,S245,Q$275,F$280,Q$285)</f>
        <v>0.16007787526851078</v>
      </c>
      <c r="T298" s="15" cm="1">
        <f t="array" aca="1" ref="T298" ca="1">MMS_Dairy_Methane_Equations.VEERG_4_3_1_1__1_TotalAnnualMethaneFromManureManagementVariation(G$270,T245,R$275,0,0,0,0,0)</f>
        <v>3.5667134980860167E-2</v>
      </c>
      <c r="U298" s="15" cm="1">
        <f t="array" aca="1" ref="U298" ca="1">MMS_Dairy_Methane_Equations.VEERG_4_3_1_1__1_TotalAnnualMethaneFromManureManagementVariation(0,0,0,H$270,U245,S$275,H$280,S$285)</f>
        <v>0.18782961212420554</v>
      </c>
    </row>
    <row r="300" spans="4:21" ht="20.25" x14ac:dyDescent="0.25">
      <c r="D300" s="88" t="s">
        <v>432</v>
      </c>
      <c r="E300" s="91" t="e">
        <f ca="1">SUM(F290:J298)</f>
        <v>#N/A</v>
      </c>
      <c r="F300" s="90" t="str">
        <f>$E$256</f>
        <v>t CH4</v>
      </c>
      <c r="O300" s="88" t="s">
        <v>433</v>
      </c>
      <c r="P300" s="91" t="e">
        <f ca="1">SUM(Q290:U298)</f>
        <v>#N/A</v>
      </c>
      <c r="Q300" s="90" t="str">
        <f>$E$256</f>
        <v>t CH4</v>
      </c>
    </row>
    <row r="302" spans="4:21" x14ac:dyDescent="0.25">
      <c r="D302" s="131" t="str" cm="1">
        <f t="array" ref="D302:E303">Common_Equations.Common_ConvertCH4ToCO2e_Arguments()</f>
        <v>ECH4</v>
      </c>
      <c r="E302" s="134" t="str">
        <v>Methane emissions (t CH4)</v>
      </c>
      <c r="F302" s="135"/>
      <c r="G302" s="15" t="e">
        <f ca="1">VEERG_4_3_1_1__1_TotalAnnualMethaneFromManureManagement_Result_Method1</f>
        <v>#N/A</v>
      </c>
      <c r="H302" s="16"/>
      <c r="O302" s="131" t="str" cm="1">
        <f t="array" ref="O302:P303">Common_Equations.Common_ConvertCH4ToCO2e_Arguments()</f>
        <v>ECH4</v>
      </c>
      <c r="P302" s="134" t="str">
        <v>Methane emissions (t CH4)</v>
      </c>
      <c r="Q302" s="135"/>
      <c r="R302" s="15" t="e">
        <f ca="1">VEERG_4_3_1_1__1_TotalAnnualMethaneFromManureManagement_Result_Method2</f>
        <v>#N/A</v>
      </c>
      <c r="S302" s="16" t="s">
        <v>5</v>
      </c>
    </row>
    <row r="303" spans="4:21" x14ac:dyDescent="0.25">
      <c r="D303" s="131" t="str">
        <v>GWPCH4</v>
      </c>
      <c r="E303" s="134" t="str">
        <v>Global warming potential for methane (t CO2-e / t CH4)</v>
      </c>
      <c r="F303" s="135"/>
      <c r="G303" s="15">
        <f>Common_InputFunctions.Utility_LookupValueInTableNumber("CH4",Table_GWPData[Gas],Table_GWPData[CO2-e factor])</f>
        <v>28</v>
      </c>
      <c r="O303" s="131" t="str">
        <v>GWPCH4</v>
      </c>
      <c r="P303" s="134" t="str">
        <v>Global warming potential for methane (t CO2-e / t CH4)</v>
      </c>
      <c r="Q303" s="135"/>
      <c r="R303" s="15">
        <f>Common_InputFunctions.Utility_LookupValueInTableNumber("CH4",Table_GWPData[Gas],Table_GWPData[CO2-e factor])</f>
        <v>28</v>
      </c>
    </row>
    <row r="305" spans="4:17" ht="18.75" x14ac:dyDescent="0.25">
      <c r="D305" s="89" t="s">
        <v>434</v>
      </c>
      <c r="E305" s="89" t="e" cm="1">
        <f t="array" aca="1" ref="E305" ca="1">Common_Equations.Common_ConvertCH4ToCO2e(G302,G303)</f>
        <v>#N/A</v>
      </c>
      <c r="F305" s="94" t="str" cm="1">
        <f t="array" ref="F305">Common_Equations.Common_ConvertN2OToCO2e_Unit()</f>
        <v>t CO2e</v>
      </c>
      <c r="O305" s="89" t="s">
        <v>435</v>
      </c>
      <c r="P305" s="89" t="e" cm="1">
        <f t="array" aca="1" ref="P305" ca="1">Common_Equations.Common_ConvertCH4ToCO2e(R302,R303)</f>
        <v>#N/A</v>
      </c>
      <c r="Q305" s="94"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85CDD75A-3610-40B7-AADF-D7006EC95AE5}"/>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661B-3F7A-4FCF-8F3B-D5A350CD47E8}">
  <sheetPr>
    <tabColor rgb="FF008000"/>
  </sheetPr>
  <dimension ref="A1:U292"/>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436</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MMS_Dairy_N2ODirect_Equations.VEERG_4_3_1_3__8_RelativeSize_Title()</f>
        <v>Relative size</v>
      </c>
    </row>
    <row r="6" spans="1:21" ht="20.100000000000001" customHeight="1" x14ac:dyDescent="0.25">
      <c r="A6" s="5" t="str">
        <f>HYPERLINK("#'Results'!A1", "Results")</f>
        <v>Results</v>
      </c>
      <c r="D6" s="17" t="str" cm="1">
        <f t="array" ref="D6">MMS_Dairy_N2ODirect_Equations.VEERG_4_3_1_3__8_RelativeSize_Source()</f>
        <v>VEERG 2026: 4.3.1.3, Equation (8)</v>
      </c>
    </row>
    <row r="7" spans="1:21" ht="20.100000000000001" customHeight="1" x14ac:dyDescent="0.25">
      <c r="D7" s="117" t="s">
        <v>343</v>
      </c>
      <c r="E7" s="117" t="str" cm="1">
        <f t="array" aca="1" ref="E7" ca="1">Common_InputFunctions.Utility_DisplayFunctionName(D29)</f>
        <v>=MMS_Dairy_N2ODirect_Equations.VEERG_4_3_1_3__8_RelativeSize</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MMS_Dairy_N2ODirect_Equations.VEERG_4_3_1_3__8_RelativeSize_Variable()</f>
        <v>Z_j</v>
      </c>
    </row>
    <row r="11" spans="1:21" ht="20.100000000000001" customHeight="1" x14ac:dyDescent="0.25">
      <c r="A11" s="5" t="str">
        <f>HYPERLINK("#'Input - Site'!A1", "Site")</f>
        <v>Site</v>
      </c>
      <c r="D11" s="76" t="s">
        <v>118</v>
      </c>
      <c r="E11" s="9" t="str" cm="1">
        <f t="array" ref="E11">MMS_Dairy_N2ODirect_Equations.VEERG_4_3_1_3__8_RelativeSize_Unit()</f>
        <v>ratio</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4">_xlfn.CHOOSECOLS(MMS_Dairy_N2ODirect_Equations.VEERG_4_3_1_3__8_RelativeSize_Arguments(),1,2)</f>
        <v>W_j</v>
      </c>
      <c r="E13" s="119" t="str">
        <v>liveweight</v>
      </c>
      <c r="F13" s="119" t="str" cm="1">
        <f t="array" ref="F13:G14">_xlfn.CHOOSECOLS(MMS_Dairy_N2ODirect_Equations.VEERG_4_3_1_3__8_RelativeSize_Arguments(),3,4)</f>
        <v>kg/head</v>
      </c>
      <c r="G13" s="120" t="str">
        <v>Input</v>
      </c>
      <c r="H13" s="126" t="str" cm="1">
        <f t="array" aca="1" ref="H13" ca="1">HYPERLINK(Common_InputFunctions.Utility_SourceHyperlink($D$16),$D$16)</f>
        <v>M1_Table_W_j</v>
      </c>
    </row>
    <row r="14" spans="1:21" ht="20.100000000000001" customHeight="1" x14ac:dyDescent="0.25">
      <c r="A14" s="5" t="str">
        <f>HYPERLINK("#'Input - Dairy cattle purchases'!A1", "Dairy cattle purchases")</f>
        <v>Dairy cattle purchases</v>
      </c>
      <c r="D14" s="119" t="str">
        <v>WR_j</v>
      </c>
      <c r="E14" s="119" t="str">
        <v>reference weight</v>
      </c>
      <c r="F14" s="119" t="str">
        <v>kg/head</v>
      </c>
      <c r="G14" s="127" t="str">
        <v>Constant</v>
      </c>
      <c r="H14" s="126" t="str" cm="1">
        <f t="array" aca="1" ref="H14" ca="1">HYPERLINK(Common_InputFunctions.Utility_SourceHyperlink($D$21),$D$21)</f>
        <v>Table_WR_j</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366</v>
      </c>
      <c r="N16" s="121" t="s">
        <v>367</v>
      </c>
    </row>
    <row r="17" spans="1:21" ht="20.100000000000001" customHeight="1" x14ac:dyDescent="0.25">
      <c r="A17" s="5" t="str">
        <f>HYPERLINK("#'Input - Fertiliser'!A1", "Fertiliser")</f>
        <v>Fertiliser</v>
      </c>
      <c r="D17" s="122" t="s">
        <v>368</v>
      </c>
      <c r="N17" s="122" t="s">
        <v>369</v>
      </c>
    </row>
    <row r="18" spans="1:21" ht="20.100000000000001" customHeight="1" x14ac:dyDescent="0.25">
      <c r="A18" s="5" t="str">
        <f>HYPERLINK("#'Input - Fuel'!A1", "Fuel")</f>
        <v>Fuel</v>
      </c>
      <c r="D18" s="81" t="s">
        <v>295</v>
      </c>
      <c r="E18" s="81" t="s">
        <v>296</v>
      </c>
      <c r="F18" s="81" t="s">
        <v>297</v>
      </c>
      <c r="G18" s="81" t="s">
        <v>298</v>
      </c>
      <c r="H18" s="81" t="s">
        <v>299</v>
      </c>
      <c r="N18" s="81" t="s">
        <v>295</v>
      </c>
      <c r="O18" s="81" t="s">
        <v>296</v>
      </c>
      <c r="P18" s="81" t="s">
        <v>297</v>
      </c>
      <c r="Q18" s="81" t="s">
        <v>298</v>
      </c>
      <c r="R18" s="81" t="s">
        <v>299</v>
      </c>
    </row>
    <row r="19" spans="1:21" ht="20.100000000000001" customHeight="1" x14ac:dyDescent="0.25">
      <c r="A19" s="5" t="str">
        <f>HYPERLINK("#'Input - Electricity'!A1", "Electricity")</f>
        <v>Electricity</v>
      </c>
      <c r="D19" s="15">
        <f>INDEX(X_Table_Dairy_Liveweight_Method1,2,2)</f>
        <v>550</v>
      </c>
      <c r="E19" s="15">
        <f>INDEX(X_Table_Dairy_Liveweight_Method1,2,3)</f>
        <v>380</v>
      </c>
      <c r="F19" s="15">
        <f>INDEX(X_Table_Dairy_Liveweight_Method1,2,4)</f>
        <v>155</v>
      </c>
      <c r="G19" s="15">
        <f>INDEX(X_Table_Dairy_Liveweight_Method1,2,5)</f>
        <v>600</v>
      </c>
      <c r="H19" s="15">
        <f>INDEX(X_Table_Dairy_Liveweight_Method1,2,6)</f>
        <v>225</v>
      </c>
      <c r="I19" s="16" t="s">
        <v>304</v>
      </c>
      <c r="N19" s="15">
        <f>INDEX(X_Table_Dairy_Liveweight_Method2,2,2)</f>
        <v>550</v>
      </c>
      <c r="O19" s="15">
        <f>INDEX(X_Table_Dairy_Liveweight_Method2,2,3)</f>
        <v>380</v>
      </c>
      <c r="P19" s="15">
        <f>INDEX(X_Table_Dairy_Liveweight_Method2,2,4)</f>
        <v>155</v>
      </c>
      <c r="Q19" s="15">
        <f>INDEX(X_Table_Dairy_Liveweight_Method2,2,5)</f>
        <v>600</v>
      </c>
      <c r="R19" s="15">
        <f>INDEX(X_Table_Dairy_Liveweight_Method2,2,6)</f>
        <v>225</v>
      </c>
      <c r="S19" s="16" t="s">
        <v>304</v>
      </c>
    </row>
    <row r="20" spans="1:21" ht="20.100000000000001" customHeight="1" x14ac:dyDescent="0.25">
      <c r="A20" s="5" t="str">
        <f>HYPERLINK("#'Input - Common farm inputs'!A1", "Common farm inputs")</f>
        <v>Common farm inputs</v>
      </c>
    </row>
    <row r="21" spans="1:21" ht="20.100000000000001" customHeight="1" x14ac:dyDescent="0.25">
      <c r="A21" s="5" t="str">
        <f>HYPERLINK("#'Input - Crop pasture farm input'!A1", "Crop pasture farm input")</f>
        <v>Crop pasture farm input</v>
      </c>
      <c r="D21" s="121" t="s">
        <v>437</v>
      </c>
    </row>
    <row r="22" spans="1:21" ht="20.100000000000001" customHeight="1" x14ac:dyDescent="0.25">
      <c r="A22" s="5" t="str">
        <f>HYPERLINK("#'Input - Livestock farm Inputs'!A1", "Livestock farm Inputs")</f>
        <v>Livestock farm Inputs</v>
      </c>
      <c r="D22" s="122" t="s">
        <v>438</v>
      </c>
    </row>
    <row r="23" spans="1:21" ht="20.100000000000001" customHeight="1" x14ac:dyDescent="0.25">
      <c r="A23" s="5" t="str">
        <f>HYPERLINK("#'Input - Freight'!A1", "Freight")</f>
        <v>Freight</v>
      </c>
      <c r="D23" s="123" t="s">
        <v>295</v>
      </c>
      <c r="E23" s="123" t="s">
        <v>296</v>
      </c>
      <c r="F23" s="123" t="s">
        <v>297</v>
      </c>
      <c r="G23" s="123" t="s">
        <v>298</v>
      </c>
      <c r="H23" s="123" t="s">
        <v>299</v>
      </c>
    </row>
    <row r="24" spans="1:21" ht="20.100000000000001" customHeight="1" x14ac:dyDescent="0.25">
      <c r="A24" s="5" t="str">
        <f>HYPERLINK("#'Input - Solid waste'!A1", "Solid waste")</f>
        <v>Solid waste</v>
      </c>
      <c r="D24" s="15" cm="1">
        <f t="array" ref="D24">Table_SourceData_Dairy_WRj[Milking cows]</f>
        <v>590</v>
      </c>
      <c r="E24" s="15" cm="1">
        <f t="array" ref="E24">Table_SourceData_Dairy_WRj[Heifers &gt; 1]</f>
        <v>590</v>
      </c>
      <c r="F24" s="15" cm="1">
        <f t="array" ref="F24">Table_SourceData_Dairy_WRj[Heifers &lt; 1 (weaned)]</f>
        <v>590</v>
      </c>
      <c r="G24" s="15" cm="1">
        <f t="array" ref="G24">Table_SourceData_Dairy_WRj[Bulls &gt; 1]</f>
        <v>770</v>
      </c>
      <c r="H24" s="15" cm="1">
        <f t="array" ref="H24">Table_SourceData_Dairy_WRj[Bulls &lt; 1 (weaned)]</f>
        <v>770</v>
      </c>
      <c r="I24" s="16" t="s">
        <v>304</v>
      </c>
    </row>
    <row r="25" spans="1:21" ht="20.100000000000001" customHeight="1" x14ac:dyDescent="0.25">
      <c r="A25" s="5" t="str">
        <f>HYPERLINK("#'Input - Manure sent off-site'!A1", "Manure sent off-site")</f>
        <v>Manure sent off-site</v>
      </c>
    </row>
    <row r="26" spans="1:21" ht="20.100000000000001" customHeight="1" x14ac:dyDescent="0.25">
      <c r="A26" s="5" t="str">
        <f>HYPERLINK("#'Input - Data quality'!A1", "Data quality")</f>
        <v>Data quality</v>
      </c>
      <c r="D26" s="121" t="s">
        <v>439</v>
      </c>
      <c r="N26" s="121" t="s">
        <v>439</v>
      </c>
    </row>
    <row r="27" spans="1:21" ht="20.100000000000001" customHeight="1" x14ac:dyDescent="0.25">
      <c r="D27" s="122" t="s">
        <v>440</v>
      </c>
      <c r="N27" s="122" t="s">
        <v>441</v>
      </c>
    </row>
    <row r="28" spans="1:21" ht="20.100000000000001" customHeight="1" x14ac:dyDescent="0.25">
      <c r="D28" s="123" t="s">
        <v>295</v>
      </c>
      <c r="E28" s="123" t="s">
        <v>296</v>
      </c>
      <c r="F28" s="123" t="s">
        <v>297</v>
      </c>
      <c r="G28" s="123" t="s">
        <v>298</v>
      </c>
      <c r="H28" s="123" t="s">
        <v>299</v>
      </c>
      <c r="N28" s="123" t="s">
        <v>295</v>
      </c>
      <c r="O28" s="123" t="s">
        <v>296</v>
      </c>
      <c r="P28" s="123" t="s">
        <v>297</v>
      </c>
      <c r="Q28" s="123" t="s">
        <v>298</v>
      </c>
      <c r="R28" s="123" t="s">
        <v>299</v>
      </c>
    </row>
    <row r="29" spans="1:21" ht="20.100000000000001" customHeight="1" x14ac:dyDescent="0.25">
      <c r="A29" s="6" t="s">
        <v>2</v>
      </c>
      <c r="D29" s="15" cm="1">
        <f t="array" ref="D29">MMS_Dairy_N2ODirect_Equations.VEERG_4_3_1_3__8_RelativeSize(D19,D24)</f>
        <v>0.93220338983050843</v>
      </c>
      <c r="E29" s="15" cm="1">
        <f t="array" ref="E29">MMS_Dairy_N2ODirect_Equations.VEERG_4_3_1_3__8_RelativeSize(E19,E24)</f>
        <v>0.64406779661016944</v>
      </c>
      <c r="F29" s="15" cm="1">
        <f t="array" ref="F29">MMS_Dairy_N2ODirect_Equations.VEERG_4_3_1_3__8_RelativeSize(F19,F24)</f>
        <v>0.26271186440677968</v>
      </c>
      <c r="G29" s="15" cm="1">
        <f t="array" ref="G29">MMS_Dairy_N2ODirect_Equations.VEERG_4_3_1_3__8_RelativeSize(G19,G24)</f>
        <v>0.77922077922077926</v>
      </c>
      <c r="H29" s="15" cm="1">
        <f t="array" ref="H29">MMS_Dairy_N2ODirect_Equations.VEERG_4_3_1_3__8_RelativeSize(H19,H24)</f>
        <v>0.29220779220779219</v>
      </c>
      <c r="I29" s="16" t="str">
        <f>$E$11</f>
        <v>ratio</v>
      </c>
      <c r="N29" s="15" cm="1">
        <f t="array" ref="N29">MMS_Dairy_N2ODirect_Equations.VEERG_4_3_1_3__8_RelativeSize(N19,D24)</f>
        <v>0.93220338983050843</v>
      </c>
      <c r="O29" s="15" cm="1">
        <f t="array" ref="O29">MMS_Dairy_N2ODirect_Equations.VEERG_4_3_1_3__8_RelativeSize(O19,E24)</f>
        <v>0.64406779661016944</v>
      </c>
      <c r="P29" s="15" cm="1">
        <f t="array" ref="P29">MMS_Dairy_N2ODirect_Equations.VEERG_4_3_1_3__8_RelativeSize(P19,F24)</f>
        <v>0.26271186440677968</v>
      </c>
      <c r="Q29" s="15" cm="1">
        <f t="array" ref="Q29">MMS_Dairy_N2ODirect_Equations.VEERG_4_3_1_3__8_RelativeSize(Q19,G24)</f>
        <v>0.77922077922077926</v>
      </c>
      <c r="R29" s="15" cm="1">
        <f t="array" ref="R29">MMS_Dairy_N2ODirect_Equations.VEERG_4_3_1_3__8_RelativeSize(R19,H24)</f>
        <v>0.29220779220779219</v>
      </c>
      <c r="S29" s="16" t="str">
        <f>$E$11</f>
        <v>ratio</v>
      </c>
    </row>
    <row r="30" spans="1:21" ht="20.100000000000001" customHeight="1" x14ac:dyDescent="0.25">
      <c r="A30" s="5" t="str">
        <f>HYPERLINK("#'3.3.1.1-2 Enteric Methane'!A1", "3.3.1.1-2 Enteric methane")</f>
        <v>3.3.1.1-2 Enteric methane</v>
      </c>
    </row>
    <row r="31" spans="1:21" ht="20.100000000000001" customHeight="1" x14ac:dyDescent="0.25">
      <c r="A31" s="5" t="str">
        <f>HYPERLINK("#'4.3.1.1-2 Methane'!A1", "4.3.1.1-2 Manure methane")</f>
        <v>4.3.1.1-2 Manure methane</v>
      </c>
    </row>
    <row r="32" spans="1:21" ht="20.100000000000001" customHeight="1" x14ac:dyDescent="0.25">
      <c r="A32" s="118" t="str">
        <f>HYPERLINK("#'4.3.1.3-4 Direct N20'!A1", "4.3.1.3-4 Direct N20")</f>
        <v>4.3.1.3-4 Direct N20</v>
      </c>
      <c r="C32" s="89"/>
      <c r="D32" s="89"/>
      <c r="E32" s="89"/>
      <c r="F32" s="89"/>
      <c r="G32" s="89"/>
      <c r="H32" s="89"/>
      <c r="I32" s="89"/>
      <c r="J32" s="89"/>
      <c r="K32" s="89"/>
      <c r="M32" s="89"/>
      <c r="N32" s="89"/>
      <c r="O32" s="89"/>
      <c r="P32" s="89"/>
      <c r="Q32" s="89"/>
      <c r="R32" s="89"/>
      <c r="S32" s="89"/>
      <c r="T32" s="89"/>
      <c r="U32" s="89"/>
    </row>
    <row r="33" spans="1:14" ht="20.100000000000001" customHeight="1" x14ac:dyDescent="0.25">
      <c r="A33" s="5" t="str">
        <f>HYPERLINK("#'4.3.1.5 Atmos deposition'!A1", "4.3.1.5 Atmos deposition")</f>
        <v>4.3.1.5 Atmos deposition</v>
      </c>
      <c r="D33" s="2" t="str" cm="1">
        <f t="array" ref="D33">MMS_Dairy_N2ODirect_Equations.VEERG_4_3_1_3__7_IntakeRelativeToMaintenance_Title()</f>
        <v>Intake relative to maintenance</v>
      </c>
    </row>
    <row r="34" spans="1:14" ht="20.100000000000001" customHeight="1" x14ac:dyDescent="0.25">
      <c r="A34" s="5" t="str">
        <f>HYPERLINK("#'4.3.1.6-7 Leaching and runoff'!A1", "4.3.1.6-7 Leaching &amp; runoff")</f>
        <v>4.3.1.6-7 Leaching &amp; runoff</v>
      </c>
      <c r="D34" s="17" t="str" cm="1">
        <f t="array" ref="D34">MMS_Dairy_N2ODirect_Equations.VEERG_4_3_1_3__7_IntakeRelativeToMaintenance_Source()</f>
        <v>VEERG 2026: 4.3.1.3, Equation (7)</v>
      </c>
    </row>
    <row r="35" spans="1:14" ht="20.100000000000001" customHeight="1" x14ac:dyDescent="0.25">
      <c r="A35" s="5" t="str">
        <f>HYPERLINK("#'4.3.1.8 Manure applied to soils'!A1", "4.3.1.8 Manure applied to soils")</f>
        <v>4.3.1.8 Manure applied to soils</v>
      </c>
      <c r="D35" s="117" t="s">
        <v>343</v>
      </c>
      <c r="E35" s="117" t="str" cm="1">
        <f t="array" aca="1" ref="E35" ca="1">Common_InputFunctions.Utility_DisplayFunctionName(D65)</f>
        <v>=MMS_Dairy_N2ODirect_Equations.VEERG_4_3_1_3__7_IntakeRelativeToMaintenance</v>
      </c>
    </row>
    <row r="36" spans="1:14" ht="20.100000000000001" customHeight="1" x14ac:dyDescent="0.25">
      <c r="A36" s="5" t="str">
        <f>HYPERLINK("#'4.3.1.9 Soil direct N2O'!A1", "4.3.1.9 Soil direct N2O")</f>
        <v>4.3.1.9 Soil direct N2O</v>
      </c>
    </row>
    <row r="37" spans="1:14" ht="20.100000000000001" customHeight="1" x14ac:dyDescent="0.25">
      <c r="A37" s="5" t="str">
        <f>HYPERLINK("#'4.3.1.10-11 Soil Atmos Dep'!A1", "4.3.1.10-11 Soil Atmos Deposition")</f>
        <v>4.3.1.10-11 Soil Atmos Deposition</v>
      </c>
      <c r="D37" s="2"/>
      <c r="F37" s="2"/>
    </row>
    <row r="38" spans="1:14" ht="20.100000000000001" customHeight="1" x14ac:dyDescent="0.25">
      <c r="A38" s="5" t="str">
        <f>HYPERLINK("#'4.3.1.12-13 Soil leach runoff'!A1", "4.3.1.12-13 Soil leach &amp; runoff")</f>
        <v>4.3.1.12-13 Soil leach &amp; runoff</v>
      </c>
    </row>
    <row r="39" spans="1:14" ht="20.100000000000001" customHeight="1" x14ac:dyDescent="0.25">
      <c r="A39" s="5" t="str">
        <f>HYPERLINK("#'5.1.1.1-2 Inorganic fert N2O'!A1", "5.1.1.1-2 Inorganic fert N2O")</f>
        <v>5.1.1.1-2 Inorganic fert N2O</v>
      </c>
      <c r="D39" s="76" t="s">
        <v>344</v>
      </c>
      <c r="E39" s="1" t="str" cm="1">
        <f t="array" ref="E39">MMS_Dairy_N2ODirect_Equations.VEERG_4_3_1_3__7_IntakeRelativeToMaintenance_Variable()</f>
        <v>L_j</v>
      </c>
    </row>
    <row r="40" spans="1:14" ht="20.100000000000001" customHeight="1" x14ac:dyDescent="0.25">
      <c r="A40" s="5" t="str">
        <f>HYPERLINK("#'5.1.1.3-4 Inorganic fert CO2'!A1", "5.1.1.3-4 Inorganic fert CO2")</f>
        <v>5.1.1.3-4 Inorganic fert CO2</v>
      </c>
      <c r="D40" s="76" t="s">
        <v>118</v>
      </c>
      <c r="E40" s="9" t="str" cm="1">
        <f t="array" ref="E40">MMS_Dairy_N2ODirect_Equations.VEERG_4_3_1_3__7_IntakeRelativeToMaintenance_Unit()</f>
        <v>ratio</v>
      </c>
    </row>
    <row r="41" spans="1:14" ht="20.100000000000001" customHeight="1" x14ac:dyDescent="0.25">
      <c r="A41" s="5" t="str">
        <f>HYPERLINK("#'5.2.1.1-2 Organic Fert N2O'!A1", "5.2.1.1-2 Organic fert N2O")</f>
        <v>5.2.1.1-2 Organic fert N2O</v>
      </c>
    </row>
    <row r="42" spans="1:14" ht="20.100000000000001" customHeight="1" x14ac:dyDescent="0.25">
      <c r="A42" s="5" t="str">
        <f>HYPERLINK("#'5.3.1.1-2 Lime CO2'!A1", "5.3.1.1-2 Lime CO2")</f>
        <v>5.3.1.1-2 Lime CO2</v>
      </c>
      <c r="D42" s="119" t="str" cm="1">
        <f t="array" ref="D42:E45">_xlfn.CHOOSECOLS(MMS_Dairy_N2ODirect_Equations.VEERG_4_3_1_3__7_IntakeRelativeToMaintenance_Arguments(),1,2)</f>
        <v>I_j</v>
      </c>
      <c r="E42" s="124" t="str">
        <v>dry matter intake</v>
      </c>
      <c r="F42" s="125"/>
      <c r="G42" s="119" t="str" cm="1">
        <f t="array" ref="G42:H45">_xlfn.CHOOSECOLS(MMS_Dairy_N2ODirect_Equations.VEERG_4_3_1_3__7_IntakeRelativeToMaintenance_Arguments(),3,4)</f>
        <v>kgDM/head/day</v>
      </c>
      <c r="H42" s="127" t="str">
        <v>Calculated from 3.3.1.1 (3)</v>
      </c>
      <c r="I42" s="126" t="str" cm="1">
        <f t="array" aca="1" ref="I42" ca="1">HYPERLINK(Common_InputFunctions.Utility_SourceHyperlink($D$47),$D$47)</f>
        <v>M1_Table_I_j</v>
      </c>
    </row>
    <row r="43" spans="1:14" ht="20.100000000000001" customHeight="1" x14ac:dyDescent="0.25">
      <c r="A43" s="5" t="str">
        <f>HYPERLINK("#'5.4.1.1-4 Atmos deposition'!A1", "5.4.1.1-4 Atmos. deposition")</f>
        <v>5.4.1.1-4 Atmos. deposition</v>
      </c>
      <c r="D43" s="119" t="str">
        <v>W_j</v>
      </c>
      <c r="E43" s="124" t="str">
        <v>liveweight</v>
      </c>
      <c r="F43" s="125"/>
      <c r="G43" s="119" t="str">
        <v>kg/head</v>
      </c>
      <c r="H43" s="120" t="str">
        <v>Input</v>
      </c>
      <c r="I43" s="126" t="str" cm="1">
        <f t="array" aca="1" ref="I43" ca="1">HYPERLINK(Common_InputFunctions.Utility_SourceHyperlink($D$16),$D$16)</f>
        <v>M1_Table_W_j</v>
      </c>
    </row>
    <row r="44" spans="1:14" ht="20.100000000000001" customHeight="1" x14ac:dyDescent="0.25">
      <c r="A44" s="5" t="str">
        <f>HYPERLINK("#'5.5.1.1-2 Leaching and runoff'!A1", "5.5.1.1-2 Leaching &amp; runoff")</f>
        <v>5.5.1.1-2 Leaching &amp; runoff</v>
      </c>
      <c r="D44" s="119" t="str">
        <v>MR_j</v>
      </c>
      <c r="E44" s="124" t="str">
        <v>increase in metabolic rate when producing milk</v>
      </c>
      <c r="F44" s="125"/>
      <c r="G44" s="119" t="str">
        <v/>
      </c>
      <c r="H44" s="127" t="str">
        <v>Constant</v>
      </c>
      <c r="I44" s="126" t="str" cm="1">
        <f t="array" aca="1" ref="I44" ca="1">HYPERLINK(Common_InputFunctions.Utility_SourceHyperlink($D$52),$D$52)</f>
        <v>Table_MR_j</v>
      </c>
    </row>
    <row r="45" spans="1:14" ht="20.100000000000001" customHeight="1" x14ac:dyDescent="0.25">
      <c r="A45" s="5" t="str">
        <f>HYPERLINK("#'6.2.1.1-2 Pasture residue N2O'!A1", "6.2.1.1-2 Pasture residue N2O")</f>
        <v>6.2.1.1-2 Pasture residue N2O</v>
      </c>
      <c r="D45" s="119" t="str">
        <v>MI_j</v>
      </c>
      <c r="E45" s="124" t="str">
        <v>additional intake required for milk production</v>
      </c>
      <c r="F45" s="125"/>
      <c r="G45" s="119" t="str">
        <v>kgDM/head/day</v>
      </c>
      <c r="H45" s="127" t="str">
        <v>Calculated from 3.3.1.1 (4)</v>
      </c>
      <c r="I45" s="126" t="str" cm="1">
        <f t="array" aca="1" ref="I45" ca="1">HYPERLINK(Common_InputFunctions.Utility_SourceHyperlink($D$57),$D$57)</f>
        <v>M1_Table_MI_j</v>
      </c>
    </row>
    <row r="46" spans="1:14" ht="20.100000000000001" customHeight="1" x14ac:dyDescent="0.25">
      <c r="A46" s="5" t="str">
        <f>HYPERLINK("#'6.3.1.1-2 Leach runoff pasture'!A1", "6.3.1.1-2 Leach &amp; runoff (pasture)")</f>
        <v>6.3.1.1-2 Leach &amp; runoff (pasture)</v>
      </c>
    </row>
    <row r="47" spans="1:14" ht="20.100000000000001" customHeight="1" x14ac:dyDescent="0.25">
      <c r="A47" s="5" t="str">
        <f>HYPERLINK("#'8.1.1.1-2 Transport fuel'!A1", "8.1.1.1-2 Transport fuel")</f>
        <v>8.1.1.1-2 Transport fuel</v>
      </c>
      <c r="D47" s="121" t="s">
        <v>376</v>
      </c>
      <c r="N47" s="121" t="s">
        <v>377</v>
      </c>
    </row>
    <row r="48" spans="1:14" ht="20.100000000000001" customHeight="1" x14ac:dyDescent="0.25">
      <c r="A48" s="5" t="str">
        <f>HYPERLINK("#'8.2.1.1-2 Stationary fuel'!A1", "8.2.1.1-2 Stationary fuel")</f>
        <v>8.2.1.1-2 Stationary fuel</v>
      </c>
      <c r="D48" s="122" t="s">
        <v>378</v>
      </c>
      <c r="N48" s="122" t="s">
        <v>379</v>
      </c>
    </row>
    <row r="49" spans="1:19" ht="20.100000000000001" customHeight="1" x14ac:dyDescent="0.25">
      <c r="A49" s="5" t="str">
        <f>HYPERLINK("#'10.1.1-2 Solid waste treatment'!A1", "10.1.1.1-2 Solid waste")</f>
        <v>10.1.1.1-2 Solid waste</v>
      </c>
      <c r="D49" s="123" t="s">
        <v>295</v>
      </c>
      <c r="E49" s="123" t="s">
        <v>296</v>
      </c>
      <c r="F49" s="123" t="s">
        <v>297</v>
      </c>
      <c r="G49" s="123" t="s">
        <v>298</v>
      </c>
      <c r="H49" s="123" t="s">
        <v>299</v>
      </c>
      <c r="N49" s="123" t="s">
        <v>295</v>
      </c>
      <c r="O49" s="123" t="s">
        <v>296</v>
      </c>
      <c r="P49" s="123" t="s">
        <v>297</v>
      </c>
      <c r="Q49" s="123" t="s">
        <v>298</v>
      </c>
      <c r="R49" s="123" t="s">
        <v>299</v>
      </c>
    </row>
    <row r="50" spans="1:19" ht="20.100000000000001" customHeight="1" x14ac:dyDescent="0.25">
      <c r="A50" s="5" t="str">
        <f>HYPERLINK("#'14.1.1-2 Purchased electricity'!A1", "14.1.1-2 Purchased electricity")</f>
        <v>14.1.1-2 Purchased electricity</v>
      </c>
      <c r="D50" s="15">
        <f>INDEX(M1_Table_I_j,2,1)</f>
        <v>18.834317684367193</v>
      </c>
      <c r="E50" s="15">
        <f>INDEX(M1_Table_I_j,2,2)</f>
        <v>7.4188685375999972</v>
      </c>
      <c r="F50" s="15">
        <f>INDEX(M1_Table_I_j,2,3)</f>
        <v>4.0231734662249998</v>
      </c>
      <c r="G50" s="15">
        <f>INDEX(M1_Table_I_j,2,4)</f>
        <v>9.0270202499999979</v>
      </c>
      <c r="H50" s="15">
        <f>INDEX(M1_Table_I_j,2,5)</f>
        <v>5.4143472656250013</v>
      </c>
      <c r="I50" s="16" t="str">
        <f>G42</f>
        <v>kgDM/head/day</v>
      </c>
      <c r="N50" s="15">
        <f>INDEX(M2_Table_I_j,2,1)</f>
        <v>18.834317684367193</v>
      </c>
      <c r="O50" s="15">
        <f>INDEX(M2_Table_I_j,2,2)</f>
        <v>7.4188685375999972</v>
      </c>
      <c r="P50" s="15">
        <f>INDEX(M2_Table_I_j,2,3)</f>
        <v>4.0231734662249998</v>
      </c>
      <c r="Q50" s="15">
        <f>INDEX(M2_Table_I_j,2,4)</f>
        <v>9.0270202499999979</v>
      </c>
      <c r="R50" s="15">
        <f>INDEX(M2_Table_I_j,2,5)</f>
        <v>5.4143472656250013</v>
      </c>
      <c r="S50" s="16" t="str">
        <f>'4.3.1.1-2 Methane'!T114</f>
        <v>kg DM/head/day</v>
      </c>
    </row>
    <row r="51" spans="1:19" ht="20.100000000000001" customHeight="1" x14ac:dyDescent="0.25">
      <c r="A51" s="5" t="str">
        <f>HYPERLINK("#'15 Scope 3'!A1", "15 Scope 3")</f>
        <v>15 Scope 3</v>
      </c>
    </row>
    <row r="52" spans="1:19" ht="20.100000000000001" customHeight="1" x14ac:dyDescent="0.25">
      <c r="A52" s="5" t="str">
        <f>HYPERLINK("#'Calcs - Manure sent off-site'!A1", "Calcs - Manure sent off-site")</f>
        <v>Calcs - Manure sent off-site</v>
      </c>
      <c r="D52" s="121" t="s">
        <v>374</v>
      </c>
    </row>
    <row r="53" spans="1:19" ht="20.100000000000001" customHeight="1" x14ac:dyDescent="0.25">
      <c r="D53" s="122" t="s">
        <v>375</v>
      </c>
    </row>
    <row r="54" spans="1:19" ht="20.100000000000001" customHeight="1" x14ac:dyDescent="0.25">
      <c r="D54" s="123" t="s">
        <v>295</v>
      </c>
      <c r="E54" s="123" t="s">
        <v>296</v>
      </c>
      <c r="F54" s="123" t="s">
        <v>297</v>
      </c>
      <c r="G54" s="123" t="s">
        <v>298</v>
      </c>
      <c r="H54" s="123" t="s">
        <v>299</v>
      </c>
    </row>
    <row r="55" spans="1:19" ht="20.100000000000001" customHeight="1" x14ac:dyDescent="0.25">
      <c r="A55" s="83" t="s">
        <v>1</v>
      </c>
      <c r="D55" s="15">
        <f>'Constants - Dairy'!$E$108</f>
        <v>1.1000000000000001</v>
      </c>
      <c r="E55" s="15">
        <f>'Constants - Dairy'!$E$109</f>
        <v>1</v>
      </c>
      <c r="F55" s="15">
        <f>'Constants - Dairy'!$E$109</f>
        <v>1</v>
      </c>
      <c r="G55" s="15">
        <f>'Constants - Dairy'!$E$109</f>
        <v>1</v>
      </c>
      <c r="H55" s="15">
        <f>'Constants - Dairy'!$E$109</f>
        <v>1</v>
      </c>
      <c r="I55" s="16" t="str">
        <f>G44</f>
        <v/>
      </c>
    </row>
    <row r="56" spans="1:19" ht="20.100000000000001" customHeight="1" x14ac:dyDescent="0.25">
      <c r="A56" s="5" t="str">
        <f>HYPERLINK("#'Constants - Dairy'!A1", "Constants - Dairy")</f>
        <v>Constants - Dairy</v>
      </c>
    </row>
    <row r="57" spans="1:19" ht="20.100000000000001" customHeight="1" x14ac:dyDescent="0.25">
      <c r="A57" s="5" t="str">
        <f>HYPERLINK("#'Constants - Ag Residue'!A1", "Constants - Ag residue")</f>
        <v>Constants - Ag residue</v>
      </c>
      <c r="D57" s="121" t="s">
        <v>362</v>
      </c>
    </row>
    <row r="58" spans="1:19" ht="20.100000000000001" customHeight="1" x14ac:dyDescent="0.25">
      <c r="A58" s="5" t="str">
        <f>HYPERLINK("#'Constants - Common Livestock'!A1", "Constants - Common Livestock")</f>
        <v>Constants - Common Livestock</v>
      </c>
      <c r="D58" s="122" t="s">
        <v>364</v>
      </c>
    </row>
    <row r="59" spans="1:19" ht="20.100000000000001" customHeight="1" x14ac:dyDescent="0.25">
      <c r="A59" s="5" t="str">
        <f>HYPERLINK("#'Constants - Electricity'!A1", "Constants - Electricity")</f>
        <v>Constants - Electricity</v>
      </c>
      <c r="D59" s="123" t="s">
        <v>295</v>
      </c>
      <c r="E59" s="123" t="s">
        <v>296</v>
      </c>
      <c r="F59" s="123" t="s">
        <v>297</v>
      </c>
      <c r="G59" s="123" t="s">
        <v>298</v>
      </c>
      <c r="H59" s="123" t="s">
        <v>299</v>
      </c>
    </row>
    <row r="60" spans="1:19" ht="20.100000000000001" customHeight="1" x14ac:dyDescent="0.25">
      <c r="A60" s="5" t="str">
        <f>HYPERLINK("#'Constants - Fertiliser'!A1", "Constants - Fertiliser")</f>
        <v>Constants - Fertiliser</v>
      </c>
      <c r="D60" s="15">
        <f>INDEX(M1_Table_MI_j,2,1)</f>
        <v>9.5798721636071917</v>
      </c>
      <c r="E60" s="15">
        <f>INDEX(M1_Table_MI_j,2,2)</f>
        <v>0</v>
      </c>
      <c r="F60" s="15">
        <f>INDEX(M1_Table_MI_j,2,3)</f>
        <v>0</v>
      </c>
      <c r="G60" s="15">
        <f>INDEX(M1_Table_MI_j,2,4)</f>
        <v>0</v>
      </c>
      <c r="H60" s="15">
        <f>INDEX(M1_Table_MI_j,2,5)</f>
        <v>0</v>
      </c>
      <c r="I60" s="16" t="str">
        <f>'4.3.1.1-2 Methane'!I79</f>
        <v>kg DM/head/day</v>
      </c>
    </row>
    <row r="61" spans="1:19" ht="20.100000000000001" customHeight="1" x14ac:dyDescent="0.25">
      <c r="A61" s="5" t="str">
        <f>HYPERLINK("#'Constants - Fuel'!A1", "Constants - Fuel")</f>
        <v>Constants - Fuel</v>
      </c>
    </row>
    <row r="62" spans="1:19" ht="20.100000000000001" customHeight="1" x14ac:dyDescent="0.25">
      <c r="A62" s="5" t="str">
        <f>HYPERLINK("#'Constants - Scope 3'!A1", "Constants - Scope 3")</f>
        <v>Constants - Scope 3</v>
      </c>
      <c r="D62" s="121" t="s">
        <v>442</v>
      </c>
      <c r="N62" s="121" t="s">
        <v>443</v>
      </c>
    </row>
    <row r="63" spans="1:19" ht="20.100000000000001" customHeight="1" x14ac:dyDescent="0.25">
      <c r="A63" s="5" t="str">
        <f>HYPERLINK("#'Constants - Common'!A1", "Constants - Common")</f>
        <v>Constants - Common</v>
      </c>
      <c r="D63" s="122" t="s">
        <v>444</v>
      </c>
      <c r="N63" s="122" t="s">
        <v>445</v>
      </c>
    </row>
    <row r="64" spans="1:19" ht="20.100000000000001" customHeight="1" x14ac:dyDescent="0.25">
      <c r="A64" s="5" t="str">
        <f>HYPERLINK("#'Constants - Solid Waste'!A1", "Constants - Solid Waste")</f>
        <v>Constants - Solid Waste</v>
      </c>
      <c r="D64" s="123" t="s">
        <v>295</v>
      </c>
      <c r="E64" s="123" t="s">
        <v>296</v>
      </c>
      <c r="F64" s="123" t="s">
        <v>297</v>
      </c>
      <c r="G64" s="123" t="s">
        <v>298</v>
      </c>
      <c r="H64" s="123" t="s">
        <v>299</v>
      </c>
      <c r="N64" s="123" t="s">
        <v>295</v>
      </c>
      <c r="O64" s="123" t="s">
        <v>296</v>
      </c>
      <c r="P64" s="123" t="s">
        <v>297</v>
      </c>
      <c r="Q64" s="123" t="s">
        <v>298</v>
      </c>
      <c r="R64" s="123" t="s">
        <v>299</v>
      </c>
    </row>
    <row r="65" spans="1:21" ht="20.100000000000001" customHeight="1" x14ac:dyDescent="0.25">
      <c r="A65" s="5" t="str">
        <f>HYPERLINK("#'Acknowledgements'!A1", "Acknowledgements")</f>
        <v>Acknowledgements</v>
      </c>
      <c r="D65" s="15" cm="1">
        <f t="array" ref="D65">MMS_Dairy_N2ODirect_Equations.VEERG_4_3_1_3__7_IntakeRelativeToMaintenance(D50,D19,D55,D60)</f>
        <v>1.0017090166233036</v>
      </c>
      <c r="E65" s="15" cm="1">
        <f t="array" ref="E65">MMS_Dairy_N2ODirect_Equations.VEERG_4_3_1_3__7_IntakeRelativeToMaintenance(E50,E19,E55,E60)</f>
        <v>1.1546862260954116</v>
      </c>
      <c r="F65" s="15" cm="1">
        <f t="array" ref="F65">MMS_Dairy_N2ODirect_Equations.VEERG_4_3_1_3__7_IntakeRelativeToMaintenance(F50,F19,F55,F60)</f>
        <v>1.206300296845944</v>
      </c>
      <c r="G65" s="15" cm="1">
        <f t="array" ref="G65">MMS_Dairy_N2ODirect_Equations.VEERG_4_3_1_3__7_IntakeRelativeToMaintenance(G50,G19,G55,G60)</f>
        <v>1.0213029780639273</v>
      </c>
      <c r="H65" s="15" cm="1">
        <f t="array" ref="H65">MMS_Dairy_N2ODirect_Equations.VEERG_4_3_1_3__7_IntakeRelativeToMaintenance(H50,H19,H55,H60)</f>
        <v>1.2576570545672616</v>
      </c>
      <c r="I65" s="16" t="str">
        <f>$E$40</f>
        <v>ratio</v>
      </c>
      <c r="N65" s="15" cm="1">
        <f t="array" ref="N65">MMS_Dairy_N2ODirect_Equations.VEERG_4_3_1_3__7_IntakeRelativeToMaintenance(N50,N19,D55,D60)</f>
        <v>1.0017090166233036</v>
      </c>
      <c r="O65" s="15" cm="1">
        <f t="array" ref="O65">MMS_Dairy_N2ODirect_Equations.VEERG_4_3_1_3__7_IntakeRelativeToMaintenance(O50,O19,E55,E60)</f>
        <v>1.1546862260954116</v>
      </c>
      <c r="P65" s="15" cm="1">
        <f t="array" ref="P65">MMS_Dairy_N2ODirect_Equations.VEERG_4_3_1_3__7_IntakeRelativeToMaintenance(P50,P19,F55,F60)</f>
        <v>1.206300296845944</v>
      </c>
      <c r="Q65" s="15" cm="1">
        <f t="array" ref="Q65">MMS_Dairy_N2ODirect_Equations.VEERG_4_3_1_3__7_IntakeRelativeToMaintenance(Q50,Q19,G55,G60)</f>
        <v>1.0213029780639273</v>
      </c>
      <c r="R65" s="15" cm="1">
        <f t="array" ref="R65">MMS_Dairy_N2ODirect_Equations.VEERG_4_3_1_3__7_IntakeRelativeToMaintenance(R50,R19,H55,H60)</f>
        <v>1.2576570545672616</v>
      </c>
      <c r="S65" s="16" t="str">
        <f>$E$40</f>
        <v>ratio</v>
      </c>
    </row>
    <row r="66" spans="1:21" ht="20.100000000000001" customHeight="1" x14ac:dyDescent="0.25"/>
    <row r="67" spans="1:21" ht="20.100000000000001" customHeight="1" x14ac:dyDescent="0.25"/>
    <row r="68" spans="1:21" ht="20.100000000000001" customHeight="1" x14ac:dyDescent="0.25">
      <c r="C68" s="89"/>
      <c r="D68" s="89"/>
      <c r="E68" s="89"/>
      <c r="F68" s="89"/>
      <c r="G68" s="89"/>
      <c r="H68" s="89"/>
      <c r="I68" s="89"/>
      <c r="J68" s="89"/>
      <c r="K68" s="89"/>
      <c r="M68" s="89"/>
      <c r="N68" s="89"/>
      <c r="O68" s="89"/>
      <c r="P68" s="89"/>
      <c r="Q68" s="89"/>
      <c r="R68" s="89"/>
      <c r="S68" s="89"/>
      <c r="T68" s="89"/>
      <c r="U68" s="89"/>
    </row>
    <row r="69" spans="1:21" ht="20.100000000000001" customHeight="1" x14ac:dyDescent="0.25">
      <c r="D69" s="2" t="str" cm="1">
        <f t="array" ref="D69">MMS_Dairy_N2ODirect_Equations.VEERG_4_3_1_3__6_NitrogenRetainedByBody_Title()</f>
        <v>Amount of nitrogen retained by the body</v>
      </c>
    </row>
    <row r="70" spans="1:21" ht="20.100000000000001" customHeight="1" x14ac:dyDescent="0.25">
      <c r="D70" s="17" t="str" cm="1">
        <f t="array" ref="D70">MMS_Dairy_N2ODirect_Equations.VEERG_4_3_1_3__6_NitrogenRetainedByBody_Source()</f>
        <v>VEERG 2026: 4.3.1.3, Equation (6)</v>
      </c>
    </row>
    <row r="71" spans="1:21" ht="20.100000000000001" customHeight="1" x14ac:dyDescent="0.25">
      <c r="D71" s="25"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17" t="s">
        <v>343</v>
      </c>
      <c r="E72" s="117"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76" t="s">
        <v>344</v>
      </c>
      <c r="E75" s="1" t="str" cm="1">
        <f t="array" ref="E75">MMS_Dairy_N2ODirect_Equations.VEERG_4_3_1_3__6_NitrogenRetainedByBody_Variable()</f>
        <v>NR_j</v>
      </c>
    </row>
    <row r="76" spans="1:21" ht="20.100000000000001" customHeight="1" x14ac:dyDescent="0.25">
      <c r="D76" s="76" t="s">
        <v>118</v>
      </c>
      <c r="E76" s="9" t="str" cm="1">
        <f t="array" ref="E76">MMS_Dairy_N2ODirect_Equations.VEERG_4_3_1_3__6_NitrogenRetainedByBody_Unit()</f>
        <v>kg N/head/day</v>
      </c>
    </row>
    <row r="77" spans="1:21" ht="20.100000000000001" customHeight="1" x14ac:dyDescent="0.25"/>
    <row r="78" spans="1:21" ht="20.100000000000001" customHeight="1" x14ac:dyDescent="0.25">
      <c r="D78" s="119" t="str" cm="1">
        <f t="array" ref="D78:E83">_xlfn.CHOOSECOLS(MMS_Dairy_N2ODirect_Equations.VEERG_4_3_1_3__6_NitrogenRetainedByBody_Arguments(),1,2)</f>
        <v>MPU</v>
      </c>
      <c r="E78" s="124" t="str">
        <v>input milk production unit</v>
      </c>
      <c r="F78" s="125"/>
      <c r="G78" s="119" t="str" cm="1">
        <f t="array" ref="G78:H83">_xlfn.CHOOSECOLS(MMS_Dairy_N2ODirect_Equations.VEERG_4_3_1_3__6_NitrogenRetainedByBody_Arguments(),3,4)</f>
        <v/>
      </c>
      <c r="H78" s="120" t="str">
        <v>Input</v>
      </c>
      <c r="I78" s="119" t="str">
        <f>X_Cell_Dairy_MilkProductionUnit</f>
        <v>Litres of milk</v>
      </c>
    </row>
    <row r="79" spans="1:21" ht="20.100000000000001" customHeight="1" x14ac:dyDescent="0.25">
      <c r="D79" s="119" t="str">
        <v>MP_j</v>
      </c>
      <c r="E79" s="124" t="str">
        <v>milk production (if input as litres of milk)</v>
      </c>
      <c r="F79" s="125"/>
      <c r="G79" s="119" t="str">
        <v>L/head/day</v>
      </c>
      <c r="H79" s="120" t="str">
        <v>Input</v>
      </c>
      <c r="I79" s="126" t="str" cm="1">
        <f t="array" aca="1" ref="I79" ca="1">HYPERLINK(Common_InputFunctions.Utility_SourceHyperlink($D$90),$D$90)</f>
        <v>Table_MP_j</v>
      </c>
    </row>
    <row r="80" spans="1:21" ht="20.100000000000001" customHeight="1" x14ac:dyDescent="0.25">
      <c r="D80" s="119" t="str">
        <v>MP_j</v>
      </c>
      <c r="E80" s="124" t="str">
        <v>milk production (if input as milk solids)</v>
      </c>
      <c r="F80" s="125"/>
      <c r="G80" s="119" t="str">
        <v>L/head/day</v>
      </c>
      <c r="H80" s="127" t="str">
        <v>Calculated from 3.3.1.1 (5)</v>
      </c>
      <c r="I80" s="126" t="str" cm="1">
        <f t="array" aca="1" ref="I80" ca="1">HYPERLINK(Common_InputFunctions.Utility_SourceHyperlink($D$85),$D$85)</f>
        <v>M1_Table_MP_j_from_solids</v>
      </c>
    </row>
    <row r="81" spans="4:19" ht="20.100000000000001" customHeight="1" x14ac:dyDescent="0.25">
      <c r="D81" s="119" t="str">
        <v>L_j</v>
      </c>
      <c r="E81" s="124" t="str">
        <v>intake relative to maintenance</v>
      </c>
      <c r="F81" s="125"/>
      <c r="G81" s="119" t="str">
        <v/>
      </c>
      <c r="H81" s="127" t="str">
        <v>Calculated from 4.3.1.3 (7)</v>
      </c>
      <c r="I81" s="126" t="str" cm="1">
        <f t="array" aca="1" ref="I81" ca="1">HYPERLINK(Common_InputFunctions.Utility_SourceHyperlink($D$62),$D$62)</f>
        <v>M1_Table_L_j</v>
      </c>
    </row>
    <row r="82" spans="4:19" ht="20.100000000000001" customHeight="1" x14ac:dyDescent="0.25">
      <c r="D82" s="119" t="str">
        <v>Z_j</v>
      </c>
      <c r="E82" s="124" t="str">
        <v>relative size</v>
      </c>
      <c r="F82" s="125"/>
      <c r="G82" s="119" t="str">
        <v/>
      </c>
      <c r="H82" s="127" t="str">
        <v>Calculated from 4.3.1.3 (8)</v>
      </c>
      <c r="I82" s="126" t="str" cm="1">
        <f t="array" aca="1" ref="I82" ca="1">HYPERLINK(Common_InputFunctions.Utility_SourceHyperlink($D$26),$D$26)</f>
        <v>M1_Table_Z_j</v>
      </c>
    </row>
    <row r="83" spans="4:19" ht="20.100000000000001" customHeight="1" x14ac:dyDescent="0.25">
      <c r="D83" s="119" t="str">
        <v>LWG_j</v>
      </c>
      <c r="E83" s="124" t="str">
        <v>liveweight gain</v>
      </c>
      <c r="F83" s="125"/>
      <c r="G83" s="119" t="str">
        <v>kg/head/day</v>
      </c>
      <c r="H83" s="120" t="str">
        <v>Input</v>
      </c>
      <c r="I83" s="126" t="str" cm="1">
        <f t="array" aca="1" ref="I83" ca="1">HYPERLINK(Common_InputFunctions.Utility_SourceHyperlink($D$95),$D$95)</f>
        <v>M1_Table_LWG_j</v>
      </c>
    </row>
    <row r="84" spans="4:19" ht="20.100000000000001" customHeight="1" x14ac:dyDescent="0.25"/>
    <row r="85" spans="4:19" ht="20.100000000000001" customHeight="1" x14ac:dyDescent="0.25">
      <c r="D85" s="121" t="s">
        <v>356</v>
      </c>
      <c r="N85" s="121" t="s">
        <v>357</v>
      </c>
    </row>
    <row r="86" spans="4:19" ht="20.100000000000001" customHeight="1" x14ac:dyDescent="0.25">
      <c r="D86" s="122" t="s">
        <v>358</v>
      </c>
      <c r="N86" s="122" t="s">
        <v>359</v>
      </c>
    </row>
    <row r="87" spans="4:19" ht="20.100000000000001" customHeight="1" x14ac:dyDescent="0.25">
      <c r="D87" s="123" t="s">
        <v>295</v>
      </c>
      <c r="E87" s="123" t="s">
        <v>296</v>
      </c>
      <c r="F87" s="123" t="s">
        <v>297</v>
      </c>
      <c r="G87" s="123" t="s">
        <v>298</v>
      </c>
      <c r="H87" s="123" t="s">
        <v>299</v>
      </c>
      <c r="N87" s="123" t="s">
        <v>295</v>
      </c>
      <c r="O87" s="123" t="s">
        <v>296</v>
      </c>
      <c r="P87" s="123" t="s">
        <v>297</v>
      </c>
      <c r="Q87" s="123" t="s">
        <v>298</v>
      </c>
      <c r="R87" s="123" t="s">
        <v>299</v>
      </c>
    </row>
    <row r="88" spans="4:19" ht="20.100000000000001" customHeight="1" x14ac:dyDescent="0.25">
      <c r="D88" s="15">
        <f>INDEX(M1_Table_MP_j_from_solids,2,1)</f>
        <v>0</v>
      </c>
      <c r="E88" s="15">
        <v>0</v>
      </c>
      <c r="F88" s="15">
        <v>0</v>
      </c>
      <c r="G88" s="15">
        <v>0</v>
      </c>
      <c r="H88" s="15">
        <v>0</v>
      </c>
      <c r="I88" s="16" t="str">
        <f>$G$80</f>
        <v>L/head/day</v>
      </c>
      <c r="N88" s="15">
        <f>INDEX(M2_Table_MP_j_from_solids,2,1)</f>
        <v>0</v>
      </c>
      <c r="O88" s="15">
        <v>0</v>
      </c>
      <c r="P88" s="15">
        <v>0</v>
      </c>
      <c r="Q88" s="15">
        <v>0</v>
      </c>
      <c r="R88" s="15">
        <v>0</v>
      </c>
      <c r="S88" s="16" t="str">
        <f>$G$80</f>
        <v>L/head/day</v>
      </c>
    </row>
    <row r="89" spans="4:19" ht="20.100000000000001" customHeight="1" x14ac:dyDescent="0.25"/>
    <row r="90" spans="4:19" ht="20.100000000000001" customHeight="1" x14ac:dyDescent="0.25">
      <c r="D90" s="121" t="s">
        <v>361</v>
      </c>
    </row>
    <row r="91" spans="4:19" ht="20.100000000000001" customHeight="1" x14ac:dyDescent="0.25">
      <c r="D91" s="122" t="s">
        <v>313</v>
      </c>
    </row>
    <row r="92" spans="4:19" ht="20.100000000000001" customHeight="1" x14ac:dyDescent="0.25">
      <c r="D92" s="81" t="s">
        <v>295</v>
      </c>
      <c r="E92" s="81" t="s">
        <v>296</v>
      </c>
      <c r="F92" s="81" t="s">
        <v>297</v>
      </c>
      <c r="G92" s="81" t="s">
        <v>298</v>
      </c>
      <c r="H92" s="81" t="s">
        <v>299</v>
      </c>
    </row>
    <row r="93" spans="4:19" ht="20.100000000000001" customHeight="1" x14ac:dyDescent="0.25">
      <c r="D93" s="15">
        <f>INDEX(Table_MP_j_Consumer_1,2,1)</f>
        <v>20</v>
      </c>
      <c r="E93" s="15">
        <v>0</v>
      </c>
      <c r="F93" s="15">
        <v>0</v>
      </c>
      <c r="G93" s="15">
        <v>0</v>
      </c>
      <c r="H93" s="15">
        <v>0</v>
      </c>
      <c r="I93" s="16" t="str">
        <f>$G$79</f>
        <v>L/head/day</v>
      </c>
    </row>
    <row r="94" spans="4:19" ht="20.100000000000001" customHeight="1" x14ac:dyDescent="0.25"/>
    <row r="95" spans="4:19" ht="20.100000000000001" customHeight="1" x14ac:dyDescent="0.25">
      <c r="D95" s="121" t="s">
        <v>370</v>
      </c>
      <c r="N95" s="121" t="s">
        <v>371</v>
      </c>
    </row>
    <row r="96" spans="4:19" ht="20.100000000000001" customHeight="1" x14ac:dyDescent="0.25">
      <c r="D96" s="122" t="s">
        <v>372</v>
      </c>
      <c r="N96" s="122" t="s">
        <v>373</v>
      </c>
    </row>
    <row r="97" spans="3:21" ht="20.100000000000001" customHeight="1" x14ac:dyDescent="0.25">
      <c r="D97" s="81" t="s">
        <v>295</v>
      </c>
      <c r="E97" s="81" t="s">
        <v>296</v>
      </c>
      <c r="F97" s="81" t="s">
        <v>297</v>
      </c>
      <c r="G97" s="81" t="s">
        <v>298</v>
      </c>
      <c r="H97" s="81" t="s">
        <v>299</v>
      </c>
      <c r="N97" s="81" t="s">
        <v>295</v>
      </c>
      <c r="O97" s="81" t="s">
        <v>296</v>
      </c>
      <c r="P97" s="81" t="s">
        <v>297</v>
      </c>
      <c r="Q97" s="81" t="s">
        <v>298</v>
      </c>
      <c r="R97" s="81" t="s">
        <v>299</v>
      </c>
    </row>
    <row r="98" spans="3:21" ht="20.100000000000001" customHeight="1" x14ac:dyDescent="0.25">
      <c r="D98" s="15">
        <f>INDEX(X_Table_Dairy_Liveweight_Method1,3,2)</f>
        <v>1.6E-2</v>
      </c>
      <c r="E98" s="15">
        <f>INDEX(X_Table_Dairy_Liveweight_Method1,3,3)</f>
        <v>0.6</v>
      </c>
      <c r="F98" s="15">
        <f>INDEX(X_Table_Dairy_Liveweight_Method1,3,4)</f>
        <v>0.56999999999999995</v>
      </c>
      <c r="G98" s="15">
        <f>INDEX(X_Table_Dairy_Liveweight_Method1,3,5)</f>
        <v>0.1</v>
      </c>
      <c r="H98" s="15">
        <f>INDEX(X_Table_Dairy_Liveweight_Method1,3,6)</f>
        <v>0.8</v>
      </c>
      <c r="I98" s="16" t="str">
        <f>$G$83</f>
        <v>kg/head/day</v>
      </c>
      <c r="N98" s="15">
        <f>INDEX(X_Table_Dairy_Liveweight_Method2,3,2)</f>
        <v>1.6E-2</v>
      </c>
      <c r="O98" s="15">
        <f>INDEX(X_Table_Dairy_Liveweight_Method2,3,3)</f>
        <v>0.6</v>
      </c>
      <c r="P98" s="15">
        <f>INDEX(X_Table_Dairy_Liveweight_Method2,3,4)</f>
        <v>0.56999999999999995</v>
      </c>
      <c r="Q98" s="15">
        <f>INDEX(X_Table_Dairy_Liveweight_Method2,3,5)</f>
        <v>0.1</v>
      </c>
      <c r="R98" s="15">
        <f>INDEX(X_Table_Dairy_Liveweight_Method2,3,6)</f>
        <v>0.8</v>
      </c>
      <c r="S98" s="16" t="str">
        <f>$G$83</f>
        <v>kg/head/day</v>
      </c>
    </row>
    <row r="99" spans="3:21" ht="20.100000000000001" customHeight="1" x14ac:dyDescent="0.25"/>
    <row r="100" spans="3:21" ht="20.100000000000001" customHeight="1" x14ac:dyDescent="0.25">
      <c r="D100" s="121" t="s">
        <v>446</v>
      </c>
      <c r="N100" s="121" t="s">
        <v>447</v>
      </c>
    </row>
    <row r="101" spans="3:21" ht="20.100000000000001" customHeight="1" x14ac:dyDescent="0.25">
      <c r="D101" s="122" t="s">
        <v>448</v>
      </c>
      <c r="N101" s="122" t="s">
        <v>449</v>
      </c>
    </row>
    <row r="102" spans="3:21" ht="20.100000000000001" customHeight="1" x14ac:dyDescent="0.25">
      <c r="D102" s="123" t="s">
        <v>295</v>
      </c>
      <c r="E102" s="123" t="s">
        <v>296</v>
      </c>
      <c r="F102" s="123" t="s">
        <v>297</v>
      </c>
      <c r="G102" s="123" t="s">
        <v>298</v>
      </c>
      <c r="H102" s="123" t="s">
        <v>299</v>
      </c>
      <c r="N102" s="123" t="s">
        <v>295</v>
      </c>
      <c r="O102" s="123" t="s">
        <v>296</v>
      </c>
      <c r="P102" s="123" t="s">
        <v>297</v>
      </c>
      <c r="Q102" s="123" t="s">
        <v>298</v>
      </c>
      <c r="R102" s="123" t="s">
        <v>299</v>
      </c>
    </row>
    <row r="103" spans="3:21" ht="20.100000000000001" customHeight="1" x14ac:dyDescent="0.25">
      <c r="D103" s="15" cm="1">
        <f t="array" ref="D103">MMS_Dairy_N2ODirect_Equations.VEERG_4_3_1_3__6_NitrogenRetainedByBody(IF($I$78="Milk solids", D88, D93),D65,D29,D98)</f>
        <v>0.10350619833262559</v>
      </c>
      <c r="E103" s="15" cm="1">
        <f t="array" ref="E103">MMS_Dairy_N2ODirect_Equations.VEERG_4_3_1_3__6_NitrogenRetainedByBody(IF($I$78="Milk solids", E88, E93),E65,E29,E98)</f>
        <v>8.7932411900846184E-3</v>
      </c>
      <c r="F103" s="15" cm="1">
        <f t="array" ref="F103">MMS_Dairy_N2ODirect_Equations.VEERG_4_3_1_3__6_NitrogenRetainedByBody(IF($I$78="Milk solids", F88, F93),F65,F29,F98)</f>
        <v>1.4575548166167214E-2</v>
      </c>
      <c r="G103" s="15" cm="1">
        <f t="array" ref="G103">MMS_Dairy_N2ODirect_Equations.VEERG_4_3_1_3__6_NitrogenRetainedByBody(IF($I$78="Milk solids", G88, G93),G65,G29,G98)</f>
        <v>1.2626203146474683E-3</v>
      </c>
      <c r="H103" s="15" cm="1">
        <f t="array" ref="H103">MMS_Dairy_N2ODirect_Equations.VEERG_4_3_1_3__6_NitrogenRetainedByBody(IF($I$78="Milk solids", H88, H93),H65,H29,H98)</f>
        <v>1.9757354894894087E-2</v>
      </c>
      <c r="I103" s="16" t="str">
        <f>$E$76</f>
        <v>kg N/head/day</v>
      </c>
      <c r="N103" s="15" cm="1">
        <f t="array" ref="N103">MMS_Dairy_N2ODirect_Equations.VEERG_4_3_1_3__6_NitrogenRetainedByBody(IF($I$78="Milk solids",N88,D93),N65,N29,N98)</f>
        <v>0.10350619833262559</v>
      </c>
      <c r="O103" s="15" cm="1">
        <f t="array" ref="O103">MMS_Dairy_N2ODirect_Equations.VEERG_4_3_1_3__6_NitrogenRetainedByBody(IF($I$78="Milk solids",O88,E93),O65,O29,O98)</f>
        <v>8.7932411900846184E-3</v>
      </c>
      <c r="P103" s="15" cm="1">
        <f t="array" ref="P103">MMS_Dairy_N2ODirect_Equations.VEERG_4_3_1_3__6_NitrogenRetainedByBody(IF($I$78="Milk solids",P88,F93),P65,P29,P98)</f>
        <v>1.4575548166167214E-2</v>
      </c>
      <c r="Q103" s="15" cm="1">
        <f t="array" ref="Q103">MMS_Dairy_N2ODirect_Equations.VEERG_4_3_1_3__6_NitrogenRetainedByBody(IF($I$78="Milk solids",Q88,G93),Q65,Q29,Q98)</f>
        <v>1.2626203146474683E-3</v>
      </c>
      <c r="R103" s="15" cm="1">
        <f t="array" ref="R103">MMS_Dairy_N2ODirect_Equations.VEERG_4_3_1_3__6_NitrogenRetainedByBody(IF($I$78="Milk solids",R88,H93),R65,R29,R98)</f>
        <v>1.9757354894894087E-2</v>
      </c>
      <c r="S103" s="16" t="str">
        <f>$E$76</f>
        <v>kg N/head/day</v>
      </c>
    </row>
    <row r="104" spans="3:21" ht="20.100000000000001" customHeight="1" x14ac:dyDescent="0.25"/>
    <row r="105" spans="3:21" ht="20.100000000000001" customHeight="1" x14ac:dyDescent="0.25"/>
    <row r="106" spans="3:21" ht="20.100000000000001" customHeight="1" x14ac:dyDescent="0.25">
      <c r="C106" s="89"/>
      <c r="D106" s="89"/>
      <c r="E106" s="89"/>
      <c r="F106" s="89"/>
      <c r="G106" s="89"/>
      <c r="H106" s="89"/>
      <c r="I106" s="89"/>
      <c r="J106" s="89"/>
      <c r="K106" s="89"/>
      <c r="M106" s="89"/>
      <c r="N106" s="89"/>
      <c r="O106" s="89"/>
      <c r="P106" s="89"/>
      <c r="Q106" s="89"/>
      <c r="R106" s="89"/>
      <c r="S106" s="89"/>
      <c r="T106" s="89"/>
      <c r="U106" s="89"/>
    </row>
    <row r="107" spans="3:21" ht="20.100000000000001" customHeight="1" x14ac:dyDescent="0.25">
      <c r="D107" s="2" t="str" cm="1">
        <f t="array" ref="D107">MMS_Dairy_N2ODirect_Equations.VEERG_4_3_1_3__5_CrudeProteinIntakeOfDairyCattle_Title()</f>
        <v>Crude protein intake of dairy cattle</v>
      </c>
    </row>
    <row r="108" spans="3:21" ht="20.100000000000001" customHeight="1" x14ac:dyDescent="0.25">
      <c r="D108" s="17" t="str" cm="1">
        <f t="array" ref="D108">MMS_Dairy_N2ODirect_Equations.VEERG_4_3_1_3__5_CrudeProteinIntakeOfDairyCattle_Source()</f>
        <v>VEERG 2026: 4.3.1.3, Equation (5)</v>
      </c>
    </row>
    <row r="109" spans="3:21" ht="20.100000000000001" customHeight="1" x14ac:dyDescent="0.25">
      <c r="D109" s="117" t="s">
        <v>343</v>
      </c>
      <c r="E109" s="117"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2"/>
    </row>
    <row r="112" spans="3:21" ht="20.100000000000001" customHeight="1" x14ac:dyDescent="0.25">
      <c r="D112" s="76" t="s">
        <v>344</v>
      </c>
      <c r="E112" s="1" t="str" cm="1">
        <f t="array" ref="E112">MMS_Dairy_N2ODirect_Equations.VEERG_4_3_1_3__5_CrudeProteinIntakeOfDairyCattle_Variable()</f>
        <v>CPI_j</v>
      </c>
    </row>
    <row r="113" spans="4:19" ht="20.100000000000001" customHeight="1" x14ac:dyDescent="0.25">
      <c r="D113" s="76" t="s">
        <v>118</v>
      </c>
      <c r="E113" s="9" t="str" cm="1">
        <f t="array" ref="E113">MMS_Dairy_N2ODirect_Equations.VEERG_4_3_1_3__5_CrudeProteinIntakeOfDairyCattle_Unit()</f>
        <v>kg/head/day</v>
      </c>
    </row>
    <row r="114" spans="4:19" ht="20.100000000000001" customHeight="1" x14ac:dyDescent="0.25"/>
    <row r="115" spans="4:19" ht="20.100000000000001" customHeight="1" x14ac:dyDescent="0.25">
      <c r="D115" s="119" t="str" cm="1">
        <f t="array" ref="D115:G116">MMS_Dairy_N2ODirect_Equations.VEERG_4_3_1_3__5_CrudeProteinIntakeOfDairyCattle_Arguments()</f>
        <v>I_j</v>
      </c>
      <c r="E115" s="119" t="str">
        <v>dry matter intake</v>
      </c>
      <c r="F115" s="119" t="str">
        <v>kgDM/head/day</v>
      </c>
      <c r="G115" s="127" t="str">
        <v>Calculated from 3.3.1.1 (3)</v>
      </c>
      <c r="H115" s="126" t="str" cm="1">
        <f t="array" aca="1" ref="H115" ca="1">HYPERLINK(Common_InputFunctions.Utility_SourceHyperlink($D$47),$D$47)</f>
        <v>M1_Table_I_j</v>
      </c>
    </row>
    <row r="116" spans="4:19" ht="20.100000000000001" customHeight="1" x14ac:dyDescent="0.25">
      <c r="D116" s="119" t="str">
        <v>CP_j</v>
      </c>
      <c r="E116" s="119" t="str">
        <v>crude protein content of feed intake</v>
      </c>
      <c r="F116" s="119" t="str">
        <v>fraction</v>
      </c>
      <c r="G116" s="120" t="str">
        <v>Input</v>
      </c>
      <c r="H116" s="126" t="str" cm="1">
        <f t="array" aca="1" ref="H116" ca="1">HYPERLINK(Common_InputFunctions.Utility_SourceHyperlink($D$118),$D$118)</f>
        <v>M1_Table_CP_j</v>
      </c>
    </row>
    <row r="117" spans="4:19" ht="20.100000000000001" customHeight="1" x14ac:dyDescent="0.25"/>
    <row r="118" spans="4:19" ht="20.100000000000001" customHeight="1" x14ac:dyDescent="0.25">
      <c r="D118" s="121" t="s">
        <v>450</v>
      </c>
      <c r="N118" s="121" t="s">
        <v>451</v>
      </c>
    </row>
    <row r="119" spans="4:19" ht="20.100000000000001" customHeight="1" x14ac:dyDescent="0.25">
      <c r="D119" s="122" t="s">
        <v>452</v>
      </c>
      <c r="N119" s="122" t="s">
        <v>453</v>
      </c>
    </row>
    <row r="120" spans="4:19" ht="20.100000000000001" customHeight="1" x14ac:dyDescent="0.25">
      <c r="D120" s="81" t="s">
        <v>295</v>
      </c>
      <c r="E120" s="81" t="s">
        <v>296</v>
      </c>
      <c r="F120" s="81" t="s">
        <v>297</v>
      </c>
      <c r="G120" s="81" t="s">
        <v>298</v>
      </c>
      <c r="H120" s="81" t="s">
        <v>299</v>
      </c>
      <c r="N120" s="81" t="s">
        <v>295</v>
      </c>
      <c r="O120" s="81" t="s">
        <v>296</v>
      </c>
      <c r="P120" s="81" t="s">
        <v>297</v>
      </c>
      <c r="Q120" s="81" t="s">
        <v>298</v>
      </c>
      <c r="R120" s="81" t="s">
        <v>299</v>
      </c>
    </row>
    <row r="121" spans="4:19" ht="20.100000000000001" customHeight="1" x14ac:dyDescent="0.25">
      <c r="D121" s="15">
        <f>INDEX(X_Table_Dairy_Diet_Method1,3,2)</f>
        <v>0.2</v>
      </c>
      <c r="E121" s="15">
        <f>INDEX(X_Table_Dairy_Diet_Method1,3,3)</f>
        <v>0.2</v>
      </c>
      <c r="F121" s="15">
        <f>INDEX(X_Table_Dairy_Diet_Method1,3,4)</f>
        <v>0.2</v>
      </c>
      <c r="G121" s="15">
        <f>INDEX(X_Table_Dairy_Diet_Method1,3,5)</f>
        <v>0.2</v>
      </c>
      <c r="H121" s="15">
        <f>INDEX(X_Table_Dairy_Diet_Method1,3,6)</f>
        <v>0.2</v>
      </c>
      <c r="I121" s="16" t="str">
        <f>$F$116</f>
        <v>fraction</v>
      </c>
      <c r="N121" s="15">
        <f>INDEX(X_Table_Dairy_Diet_Method2,3,2)</f>
        <v>0.2</v>
      </c>
      <c r="O121" s="15">
        <f>INDEX(X_Table_Dairy_Diet_Method2,3,3)</f>
        <v>0.2</v>
      </c>
      <c r="P121" s="15">
        <f>INDEX(X_Table_Dairy_Diet_Method2,3,4)</f>
        <v>0.2</v>
      </c>
      <c r="Q121" s="15">
        <f>INDEX(X_Table_Dairy_Diet_Method2,3,5)</f>
        <v>0.2</v>
      </c>
      <c r="R121" s="15">
        <f>INDEX(X_Table_Dairy_Diet_Method2,3,6)</f>
        <v>0.2</v>
      </c>
      <c r="S121" s="16" t="str">
        <f>$F$116</f>
        <v>fraction</v>
      </c>
    </row>
    <row r="122" spans="4:19" ht="20.100000000000001" customHeight="1" x14ac:dyDescent="0.25"/>
    <row r="123" spans="4:19" ht="20.100000000000001" customHeight="1" x14ac:dyDescent="0.25">
      <c r="D123" s="121" t="s">
        <v>454</v>
      </c>
      <c r="N123" s="121" t="s">
        <v>455</v>
      </c>
    </row>
    <row r="124" spans="4:19" ht="20.100000000000001" customHeight="1" x14ac:dyDescent="0.25">
      <c r="D124" s="122" t="s">
        <v>456</v>
      </c>
      <c r="N124" s="122" t="s">
        <v>457</v>
      </c>
    </row>
    <row r="125" spans="4:19" ht="20.100000000000001" customHeight="1" x14ac:dyDescent="0.25">
      <c r="D125" s="123" t="s">
        <v>295</v>
      </c>
      <c r="E125" s="123" t="s">
        <v>296</v>
      </c>
      <c r="F125" s="123" t="s">
        <v>297</v>
      </c>
      <c r="G125" s="123" t="s">
        <v>298</v>
      </c>
      <c r="H125" s="123" t="s">
        <v>299</v>
      </c>
      <c r="N125" s="123" t="s">
        <v>295</v>
      </c>
      <c r="O125" s="123" t="s">
        <v>296</v>
      </c>
      <c r="P125" s="123" t="s">
        <v>297</v>
      </c>
      <c r="Q125" s="123" t="s">
        <v>298</v>
      </c>
      <c r="R125" s="123" t="s">
        <v>299</v>
      </c>
    </row>
    <row r="126" spans="4:19" ht="20.100000000000001" customHeight="1" x14ac:dyDescent="0.25">
      <c r="D126" s="15" cm="1">
        <f t="array" ref="D126">MMS_Dairy_N2ODirect_Equations.VEERG_4_3_1_3__5_CrudeProteinIntakeOfDairyCattle(D50,D121)</f>
        <v>3.7668635368734389</v>
      </c>
      <c r="E126" s="15" cm="1">
        <f t="array" ref="E126">MMS_Dairy_N2ODirect_Equations.VEERG_4_3_1_3__5_CrudeProteinIntakeOfDairyCattle(E50,E121)</f>
        <v>1.4837737075199995</v>
      </c>
      <c r="F126" s="15" cm="1">
        <f t="array" ref="F126">MMS_Dairy_N2ODirect_Equations.VEERG_4_3_1_3__5_CrudeProteinIntakeOfDairyCattle(F50,F121)</f>
        <v>0.80463469324500003</v>
      </c>
      <c r="G126" s="15" cm="1">
        <f t="array" ref="G126">MMS_Dairy_N2ODirect_Equations.VEERG_4_3_1_3__5_CrudeProteinIntakeOfDairyCattle(G50,G121)</f>
        <v>1.8054040499999997</v>
      </c>
      <c r="H126" s="15" cm="1">
        <f t="array" ref="H126">MMS_Dairy_N2ODirect_Equations.VEERG_4_3_1_3__5_CrudeProteinIntakeOfDairyCattle(H50,H121)</f>
        <v>1.0828694531250003</v>
      </c>
      <c r="I126" s="16" t="str">
        <f>$E$113</f>
        <v>kg/head/day</v>
      </c>
      <c r="N126" s="15" cm="1">
        <f t="array" ref="N126">MMS_Dairy_N2ODirect_Equations.VEERG_4_3_1_3__5_CrudeProteinIntakeOfDairyCattle(N50,N121)</f>
        <v>3.7668635368734389</v>
      </c>
      <c r="O126" s="15" cm="1">
        <f t="array" ref="O126">MMS_Dairy_N2ODirect_Equations.VEERG_4_3_1_3__5_CrudeProteinIntakeOfDairyCattle(O50,O121)</f>
        <v>1.4837737075199995</v>
      </c>
      <c r="P126" s="15" cm="1">
        <f t="array" ref="P126">MMS_Dairy_N2ODirect_Equations.VEERG_4_3_1_3__5_CrudeProteinIntakeOfDairyCattle(P50,P121)</f>
        <v>0.80463469324500003</v>
      </c>
      <c r="Q126" s="15" cm="1">
        <f t="array" ref="Q126">MMS_Dairy_N2ODirect_Equations.VEERG_4_3_1_3__5_CrudeProteinIntakeOfDairyCattle(Q50,Q121)</f>
        <v>1.8054040499999997</v>
      </c>
      <c r="R126" s="15" cm="1">
        <f t="array" ref="R126">MMS_Dairy_N2ODirect_Equations.VEERG_4_3_1_3__5_CrudeProteinIntakeOfDairyCattle(R50,R121)</f>
        <v>1.0828694531250003</v>
      </c>
      <c r="S126" s="16" t="str">
        <f>$E$113</f>
        <v>kg/head/day</v>
      </c>
    </row>
    <row r="127" spans="4:19" ht="20.100000000000001" customHeight="1" x14ac:dyDescent="0.25"/>
    <row r="128" spans="4:19" ht="20.100000000000001" customHeight="1" x14ac:dyDescent="0.25"/>
    <row r="129" spans="3:21" ht="20.100000000000001" customHeight="1" x14ac:dyDescent="0.25">
      <c r="C129" s="89"/>
      <c r="D129" s="89"/>
      <c r="E129" s="89"/>
      <c r="F129" s="89"/>
      <c r="G129" s="89"/>
      <c r="H129" s="89"/>
      <c r="I129" s="89"/>
      <c r="J129" s="89"/>
      <c r="K129" s="89"/>
      <c r="M129" s="89"/>
      <c r="N129" s="89"/>
      <c r="O129" s="89"/>
      <c r="P129" s="89"/>
      <c r="Q129" s="89"/>
      <c r="R129" s="89"/>
      <c r="S129" s="89"/>
      <c r="T129" s="89"/>
      <c r="U129" s="89"/>
    </row>
    <row r="130" spans="3:21" ht="20.100000000000001" customHeight="1" x14ac:dyDescent="0.25">
      <c r="D130" s="2" t="str" cm="1">
        <f t="array" ref="D130">MMS_Dairy_N2ODirect_Equations.VEERG_4_3_1_3__4_NitrogenExcretedByDairyCattleGreaterThanOneYear_Title()</f>
        <v>Nitrogen excreted by dairy cattle greater than one year old</v>
      </c>
    </row>
    <row r="131" spans="3:21" ht="20.100000000000001" customHeight="1" x14ac:dyDescent="0.25">
      <c r="D131" s="17" t="str" cm="1">
        <f t="array" ref="D131">MMS_Dairy_N2ODirect_Equations.VEERG_4_3_1_3__4_NitrogenExcretedByDairyCattleGreaterThanOneYear_Source()</f>
        <v>VEERG 2026: 4.3.1.3, Equation (4)</v>
      </c>
    </row>
    <row r="132" spans="3:21" ht="20.100000000000001" customHeight="1" x14ac:dyDescent="0.25">
      <c r="D132" s="117" t="s">
        <v>343</v>
      </c>
      <c r="E132" s="117"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2"/>
    </row>
    <row r="135" spans="3:21" ht="20.100000000000001" customHeight="1" x14ac:dyDescent="0.25"/>
    <row r="136" spans="3:21" ht="20.100000000000001" customHeight="1" x14ac:dyDescent="0.25">
      <c r="D136" s="76" t="s">
        <v>344</v>
      </c>
      <c r="E136" s="1" t="str" cm="1">
        <f t="array" ref="E136">MMS_Dairy_N2ODirect_Equations.VEERG_4_3_1_3__4_NitrogenExcretedByDairyCattleGreaterThanOneYear_Variable()</f>
        <v>NE_j</v>
      </c>
    </row>
    <row r="137" spans="3:21" ht="20.100000000000001" customHeight="1" x14ac:dyDescent="0.25">
      <c r="D137" s="76" t="s">
        <v>118</v>
      </c>
      <c r="E137" s="9"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19" t="str" cm="1">
        <f t="array" ref="D139:E141">_xlfn.CHOOSECOLS(MMS_Dairy_N2ODirect_Equations.VEERG_4_3_1_3__4_NitrogenExcretedByDairyCattleGreaterThanOneYear_Arguments(),1,2)</f>
        <v>CPI_j</v>
      </c>
      <c r="E139" s="124" t="str">
        <v>crude protein intake (kg/head/day)</v>
      </c>
      <c r="F139" s="125"/>
      <c r="G139" s="119" t="str" cm="1">
        <f t="array" ref="G139:H141">_xlfn.CHOOSECOLS(MMS_Dairy_N2ODirect_Equations.VEERG_4_3_1_3__4_NitrogenExcretedByDairyCattleGreaterThanOneYear_Arguments(),3,4)</f>
        <v>kg/head/day</v>
      </c>
      <c r="H139" s="127" t="str">
        <v>Calculated from 4.3.1.3 (5)</v>
      </c>
      <c r="I139" s="126" t="str" cm="1">
        <f t="array" aca="1" ref="I139" ca="1">HYPERLINK(Common_InputFunctions.Utility_SourceHyperlink($D$123),$D$123)</f>
        <v>M1_Table_CPI_j</v>
      </c>
    </row>
    <row r="140" spans="3:21" ht="20.100000000000001" customHeight="1" x14ac:dyDescent="0.25">
      <c r="D140" s="119" t="str">
        <v>NR_j</v>
      </c>
      <c r="E140" s="124" t="str">
        <v>amount of nitrogen retained by the body</v>
      </c>
      <c r="F140" s="125"/>
      <c r="G140" s="119" t="str">
        <v>kg N/head/day</v>
      </c>
      <c r="H140" s="127" t="str">
        <v>Calculated from 4.3.1.3 (6)</v>
      </c>
      <c r="I140" s="126" t="str" cm="1">
        <f t="array" aca="1" ref="I140" ca="1">HYPERLINK(Common_InputFunctions.Utility_SourceHyperlink($D$100),$D$100)</f>
        <v>M1_Table_NR_j</v>
      </c>
    </row>
    <row r="141" spans="3:21" ht="20.100000000000001" customHeight="1" x14ac:dyDescent="0.25">
      <c r="D141" s="119" t="str">
        <v>W_j</v>
      </c>
      <c r="E141" s="124" t="str">
        <v>liveweight (kg)</v>
      </c>
      <c r="F141" s="125"/>
      <c r="G141" s="119" t="str">
        <v>kg</v>
      </c>
      <c r="H141" s="120" t="str">
        <v>Input</v>
      </c>
      <c r="I141" s="126" t="str" cm="1">
        <f t="array" aca="1" ref="I141" ca="1">HYPERLINK(Common_InputFunctions.Utility_SourceHyperlink($D$16),$D$16)</f>
        <v>M1_Table_W_j</v>
      </c>
    </row>
    <row r="142" spans="3:21" ht="20.100000000000001" customHeight="1" x14ac:dyDescent="0.25"/>
    <row r="143" spans="3:21" ht="20.100000000000001" customHeight="1" x14ac:dyDescent="0.25">
      <c r="D143" s="121" t="s">
        <v>458</v>
      </c>
      <c r="N143" s="121" t="s">
        <v>459</v>
      </c>
    </row>
    <row r="144" spans="3:21" ht="20.100000000000001" customHeight="1" x14ac:dyDescent="0.25">
      <c r="D144" s="122" t="s">
        <v>460</v>
      </c>
      <c r="N144" s="122" t="s">
        <v>461</v>
      </c>
    </row>
    <row r="145" spans="3:21" ht="20.100000000000001" customHeight="1" x14ac:dyDescent="0.25">
      <c r="D145" s="123" t="s">
        <v>295</v>
      </c>
      <c r="E145" s="123" t="s">
        <v>296</v>
      </c>
      <c r="F145" s="123" t="s">
        <v>297</v>
      </c>
      <c r="G145" s="123" t="s">
        <v>298</v>
      </c>
      <c r="H145" s="123" t="s">
        <v>299</v>
      </c>
      <c r="N145" s="123" t="s">
        <v>295</v>
      </c>
      <c r="O145" s="123" t="s">
        <v>296</v>
      </c>
      <c r="P145" s="123" t="s">
        <v>297</v>
      </c>
      <c r="Q145" s="123" t="s">
        <v>298</v>
      </c>
      <c r="R145" s="123" t="s">
        <v>299</v>
      </c>
    </row>
    <row r="146" spans="3:21" ht="20.100000000000001" customHeight="1" x14ac:dyDescent="0.25">
      <c r="D146" s="15" cm="1">
        <f t="array" ref="D146">MMS_Dairy_N2ODirect_Equations.VEERG_4_3_1_3__4_NitrogenExcretedByDairyCattleGreaterThanOneYear(D126,D103,D19)</f>
        <v>0.49719309694578667</v>
      </c>
      <c r="E146" s="15" cm="1">
        <f t="array" ref="E146">MMS_Dairy_N2ODirect_Equations.VEERG_4_3_1_3__4_NitrogenExcretedByDairyCattleGreaterThanOneYear(E126,E103,E19)</f>
        <v>0.22709576921272823</v>
      </c>
      <c r="F146" s="15" cm="1">
        <f t="array" ref="F146">MMS_Dairy_N2ODirect_Equations.VEERG_4_3_1_3__4_NitrogenExcretedByDairyCattleGreaterThanOneYear(F126,F103,F19)</f>
        <v>0.1133928568810149</v>
      </c>
      <c r="G146" s="15" cm="1">
        <f t="array" ref="G146">MMS_Dairy_N2ODirect_Equations.VEERG_4_3_1_3__4_NitrogenExcretedByDairyCattleGreaterThanOneYear(G126,G103,G19)</f>
        <v>0.28546836331241399</v>
      </c>
      <c r="H146" s="15" cm="1">
        <f t="array" ref="H146">MMS_Dairy_N2ODirect_Equations.VEERG_4_3_1_3__4_NitrogenExcretedByDairyCattleGreaterThanOneYear(H126,H103,H19)</f>
        <v>0.15247929000170721</v>
      </c>
      <c r="I146" s="16" t="str">
        <f>$E$137</f>
        <v>kg N/head/day</v>
      </c>
      <c r="N146" s="15" cm="1">
        <f t="array" ref="N146">MMS_Dairy_N2ODirect_Equations.VEERG_4_3_1_3__4_NitrogenExcretedByDairyCattleGreaterThanOneYear(N126,N103,N19)</f>
        <v>0.49719309694578667</v>
      </c>
      <c r="O146" s="15" cm="1">
        <f t="array" ref="O146">MMS_Dairy_N2ODirect_Equations.VEERG_4_3_1_3__4_NitrogenExcretedByDairyCattleGreaterThanOneYear(O126,O103,O19)</f>
        <v>0.22709576921272823</v>
      </c>
      <c r="P146" s="15" cm="1">
        <f t="array" ref="P146">MMS_Dairy_N2ODirect_Equations.VEERG_4_3_1_3__4_NitrogenExcretedByDairyCattleGreaterThanOneYear(P126,P103,P19)</f>
        <v>0.1133928568810149</v>
      </c>
      <c r="Q146" s="15" cm="1">
        <f t="array" ref="Q146">MMS_Dairy_N2ODirect_Equations.VEERG_4_3_1_3__4_NitrogenExcretedByDairyCattleGreaterThanOneYear(Q126,Q103,Q19)</f>
        <v>0.28546836331241399</v>
      </c>
      <c r="R146" s="15" cm="1">
        <f t="array" ref="R146">MMS_Dairy_N2ODirect_Equations.VEERG_4_3_1_3__4_NitrogenExcretedByDairyCattleGreaterThanOneYear(R126,R103,R19)</f>
        <v>0.15247929000170721</v>
      </c>
      <c r="S146" s="16" t="str">
        <f>$E$137</f>
        <v>kg N/head/day</v>
      </c>
    </row>
    <row r="147" spans="3:21" ht="20.100000000000001" customHeight="1" x14ac:dyDescent="0.25"/>
    <row r="148" spans="3:21" ht="20.100000000000001" customHeight="1" x14ac:dyDescent="0.25"/>
    <row r="149" spans="3:21" ht="20.100000000000001" customHeight="1" x14ac:dyDescent="0.25">
      <c r="C149" s="89"/>
      <c r="D149" s="89"/>
      <c r="E149" s="89"/>
      <c r="F149" s="89"/>
      <c r="G149" s="89"/>
      <c r="H149" s="89"/>
      <c r="I149" s="89"/>
      <c r="J149" s="89"/>
      <c r="K149" s="89"/>
      <c r="M149" s="89"/>
      <c r="N149" s="89"/>
      <c r="O149" s="89"/>
      <c r="P149" s="89"/>
      <c r="Q149" s="89"/>
      <c r="R149" s="89"/>
      <c r="S149" s="89"/>
      <c r="T149" s="89"/>
      <c r="U149" s="89"/>
    </row>
    <row r="150" spans="3:21" ht="20.100000000000001" customHeight="1" x14ac:dyDescent="0.25">
      <c r="D150" s="2"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17" t="str" cm="1">
        <f t="array" ref="D151">MMS_Dairy_N2ODirect_Equations.VEERG_4_3_1_3__3a_TotalAnnualNitrogenExcretedGreaterThanOneYear_Source()</f>
        <v>VEERG 2026: 4.3.1.3, Equation (3a)</v>
      </c>
    </row>
    <row r="152" spans="3:21" ht="20.100000000000001" customHeight="1" x14ac:dyDescent="0.25">
      <c r="D152" s="25"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17" t="s">
        <v>343</v>
      </c>
      <c r="E153" s="117"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2"/>
    </row>
    <row r="156" spans="3:21" ht="20.100000000000001" customHeight="1" x14ac:dyDescent="0.25">
      <c r="D156" s="76" t="s">
        <v>344</v>
      </c>
      <c r="E156" s="1" t="str" cm="1">
        <f t="array" ref="E156">MMS_Dairy_N2ODirect_Equations.VEERG_4_3_1_3__3a_TotalAnnualNitrogenExcretedGreaterThanOneYear_Variable()</f>
        <v>AE_j124</v>
      </c>
    </row>
    <row r="157" spans="3:21" ht="20.100000000000001" customHeight="1" x14ac:dyDescent="0.25">
      <c r="D157" s="76" t="s">
        <v>118</v>
      </c>
      <c r="E157" s="9"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19" t="str" cm="1">
        <f t="array" ref="D159:E161">_xlfn.CHOOSECOLS(MMS_Dairy_N2ODirect_Equations.VEERG_4_3_1_3__3a_TotalAnnualNitrogenExcretedGreaterThanOneYear_Arguments(),1,2)</f>
        <v>N_j124</v>
      </c>
      <c r="E159" s="124" t="str">
        <v>number of dairy cattle in classes j=1,2,4</v>
      </c>
      <c r="F159" s="125"/>
      <c r="G159" s="119" t="str" cm="1">
        <f t="array" ref="G159:H161">_xlfn.CHOOSECOLS(MMS_Dairy_N2ODirect_Equations.VEERG_4_3_1_3__3a_TotalAnnualNitrogenExcretedGreaterThanOneYear_Arguments(),3,4)</f>
        <v>head</v>
      </c>
      <c r="H159" s="120" t="str">
        <v>Input</v>
      </c>
      <c r="I159" s="126" t="str" cm="1">
        <f t="array" aca="1" ref="I159" ca="1">HYPERLINK(Common_InputFunctions.Utility_SourceHyperlink($D$163),$D$163)</f>
        <v>Table_N_j</v>
      </c>
    </row>
    <row r="160" spans="3:21" ht="20.100000000000001" customHeight="1" x14ac:dyDescent="0.25">
      <c r="D160" s="119" t="str">
        <v>NE_j124</v>
      </c>
      <c r="E160" s="124" t="str">
        <v>nitrogen excreted by dairy cattle greater than one year old (kg N/head/day)</v>
      </c>
      <c r="F160" s="125"/>
      <c r="G160" s="119" t="str">
        <v>kg N/head/day</v>
      </c>
      <c r="H160" s="127" t="str">
        <v>Calculated from 4.3.1.3 (4)</v>
      </c>
      <c r="I160" s="126" t="str" cm="1">
        <f t="array" aca="1" ref="I160" ca="1">HYPERLINK(Common_InputFunctions.Utility_SourceHyperlink($D$143),$D$143)</f>
        <v>M1_Table_NE_j</v>
      </c>
    </row>
    <row r="161" spans="1:19" ht="20.100000000000001" customHeight="1" x14ac:dyDescent="0.25">
      <c r="D161" s="119" t="str">
        <v>D_j124</v>
      </c>
      <c r="E161" s="124" t="str">
        <v>duration of stay on farm for classes j=1,2,4 (days)</v>
      </c>
      <c r="F161" s="125"/>
      <c r="G161" s="119" t="str">
        <v>days</v>
      </c>
      <c r="H161" s="120" t="str">
        <v>Input</v>
      </c>
      <c r="I161" s="126" t="str" cm="1">
        <f t="array" aca="1" ref="I161" ca="1">HYPERLINK(Common_InputFunctions.Utility_SourceHyperlink($D$168),$D$168)</f>
        <v>M1_Table_D_j-1-2-4</v>
      </c>
    </row>
    <row r="162" spans="1:19" ht="20.100000000000001" customHeight="1" x14ac:dyDescent="0.25"/>
    <row r="163" spans="1:19" ht="20.100000000000001" customHeight="1" x14ac:dyDescent="0.25">
      <c r="D163" s="121" t="s">
        <v>417</v>
      </c>
    </row>
    <row r="164" spans="1:19" ht="20.100000000000001" customHeight="1" x14ac:dyDescent="0.25">
      <c r="D164" s="122" t="s">
        <v>418</v>
      </c>
    </row>
    <row r="165" spans="1:19" ht="20.100000000000001" customHeight="1" x14ac:dyDescent="0.25">
      <c r="D165" s="81" t="s">
        <v>295</v>
      </c>
      <c r="E165" s="81" t="s">
        <v>296</v>
      </c>
      <c r="F165" s="81" t="s">
        <v>297</v>
      </c>
      <c r="G165" s="81" t="s">
        <v>298</v>
      </c>
      <c r="H165" s="81" t="s">
        <v>299</v>
      </c>
    </row>
    <row r="166" spans="1:19" ht="20.100000000000001" customHeight="1" x14ac:dyDescent="0.25">
      <c r="D166" s="133">
        <f>INDEX(X_Table_Dairy_HerdMovement,2,2)</f>
        <v>100</v>
      </c>
      <c r="E166" s="133">
        <f>INDEX(X_Table_Dairy_HerdMovement,2,3)</f>
        <v>100</v>
      </c>
      <c r="F166" s="133">
        <f>INDEX(X_Table_Dairy_HerdMovement,2,4)</f>
        <v>100</v>
      </c>
      <c r="G166" s="133">
        <f>INDEX(X_Table_Dairy_HerdMovement,2,5)</f>
        <v>100</v>
      </c>
      <c r="H166" s="133">
        <f>INDEX(X_Table_Dairy_HerdMovement,2,6)</f>
        <v>100</v>
      </c>
      <c r="I166" s="16" t="str">
        <f>G159</f>
        <v>head</v>
      </c>
    </row>
    <row r="167" spans="1:19" ht="20.100000000000001" customHeight="1" x14ac:dyDescent="0.25"/>
    <row r="168" spans="1:19" ht="20.100000000000001" customHeight="1" x14ac:dyDescent="0.25">
      <c r="D168" s="121" t="s">
        <v>462</v>
      </c>
      <c r="N168" s="121" t="s">
        <v>463</v>
      </c>
    </row>
    <row r="169" spans="1:19" ht="20.100000000000001" customHeight="1" x14ac:dyDescent="0.25">
      <c r="D169" s="122" t="s">
        <v>464</v>
      </c>
      <c r="N169" s="122" t="s">
        <v>465</v>
      </c>
    </row>
    <row r="170" spans="1:19" ht="20.100000000000001" customHeight="1" x14ac:dyDescent="0.25">
      <c r="D170" s="81" t="s">
        <v>295</v>
      </c>
      <c r="E170" s="81" t="s">
        <v>296</v>
      </c>
      <c r="F170" s="81" t="s">
        <v>297</v>
      </c>
      <c r="G170" s="81" t="s">
        <v>298</v>
      </c>
      <c r="H170" s="81" t="s">
        <v>299</v>
      </c>
      <c r="N170" s="81" t="s">
        <v>295</v>
      </c>
      <c r="O170" s="81" t="s">
        <v>296</v>
      </c>
      <c r="P170" s="81" t="s">
        <v>297</v>
      </c>
      <c r="Q170" s="81" t="s">
        <v>298</v>
      </c>
      <c r="R170" s="81" t="s">
        <v>299</v>
      </c>
    </row>
    <row r="171" spans="1:19" ht="20.100000000000001" customHeight="1" x14ac:dyDescent="0.25">
      <c r="A171" s="128" t="str">
        <f>HYPERLINK("#A1", "▲ Back to top")</f>
        <v>▲ Back to top</v>
      </c>
      <c r="D171" s="15">
        <f>INDEX(X_Table_Dairy_DurationOfStay_Method1,2,2)</f>
        <v>365</v>
      </c>
      <c r="E171" s="15">
        <f>INDEX(X_Table_Dairy_DurationOfStay_Method1,2,3)</f>
        <v>365</v>
      </c>
      <c r="F171" s="15">
        <v>0</v>
      </c>
      <c r="G171" s="15">
        <f>INDEX(X_Table_Dairy_DurationOfStay_Method1,2,5)</f>
        <v>365</v>
      </c>
      <c r="H171" s="15">
        <v>0</v>
      </c>
      <c r="I171" s="16" t="str">
        <f>G161</f>
        <v>days</v>
      </c>
      <c r="N171" s="15">
        <f>INDEX(X_Table_Dairy_DurationOfStay_Method2,2,2)</f>
        <v>365</v>
      </c>
      <c r="O171" s="15">
        <f>INDEX(X_Table_Dairy_DurationOfStay_Method2,2,3)</f>
        <v>365</v>
      </c>
      <c r="P171" s="15">
        <v>0</v>
      </c>
      <c r="Q171" s="15">
        <f>INDEX(X_Table_Dairy_DurationOfStay_Method2,2,5)</f>
        <v>365</v>
      </c>
      <c r="R171" s="15">
        <v>0</v>
      </c>
      <c r="S171" s="16" t="s">
        <v>112</v>
      </c>
    </row>
    <row r="172" spans="1:19" ht="20.100000000000001" customHeight="1" x14ac:dyDescent="0.25"/>
    <row r="173" spans="1:19" ht="20.100000000000001" customHeight="1" x14ac:dyDescent="0.25">
      <c r="D173" s="121" t="s">
        <v>466</v>
      </c>
      <c r="N173" s="121" t="s">
        <v>467</v>
      </c>
    </row>
    <row r="174" spans="1:19" ht="20.100000000000001" customHeight="1" x14ac:dyDescent="0.25">
      <c r="D174" s="122" t="s">
        <v>468</v>
      </c>
      <c r="N174" s="122" t="s">
        <v>469</v>
      </c>
    </row>
    <row r="175" spans="1:19" ht="20.100000000000001" customHeight="1" x14ac:dyDescent="0.25">
      <c r="D175" s="123" t="s">
        <v>295</v>
      </c>
      <c r="E175" s="123" t="s">
        <v>296</v>
      </c>
      <c r="F175" s="123" t="s">
        <v>297</v>
      </c>
      <c r="G175" s="123" t="s">
        <v>298</v>
      </c>
      <c r="H175" s="123" t="s">
        <v>299</v>
      </c>
      <c r="N175" s="123" t="s">
        <v>295</v>
      </c>
      <c r="O175" s="123" t="s">
        <v>296</v>
      </c>
      <c r="P175" s="123" t="s">
        <v>297</v>
      </c>
      <c r="Q175" s="123" t="s">
        <v>298</v>
      </c>
      <c r="R175" s="123" t="s">
        <v>299</v>
      </c>
    </row>
    <row r="176" spans="1:19" ht="20.100000000000001" customHeight="1" x14ac:dyDescent="0.25">
      <c r="D176" s="15" cm="1">
        <f t="array" ref="D176">MMS_Dairy_N2ODirect_Equations.VEERG_4_3_1_3__3a_TotalAnnualNitrogenExcretedGreaterThanOneYearVariation(D166,D146,D171)</f>
        <v>18147.548038521214</v>
      </c>
      <c r="E176" s="15" cm="1">
        <f t="array" ref="E176">MMS_Dairy_N2ODirect_Equations.VEERG_4_3_1_3__3a_TotalAnnualNitrogenExcretedGreaterThanOneYearVariation(E166,E146,E171)</f>
        <v>8288.9955762645804</v>
      </c>
      <c r="F176" s="15" cm="1">
        <f t="array" ref="F176">MMS_Dairy_N2ODirect_Equations.VEERG_4_3_1_3__3a_TotalAnnualNitrogenExcretedGreaterThanOneYearVariation(F166,F146,F171)</f>
        <v>0</v>
      </c>
      <c r="G176" s="15" cm="1">
        <f t="array" ref="G176">MMS_Dairy_N2ODirect_Equations.VEERG_4_3_1_3__3a_TotalAnnualNitrogenExcretedGreaterThanOneYearVariation(G166,G146,G171)</f>
        <v>10419.59526090311</v>
      </c>
      <c r="H176" s="15" cm="1">
        <f t="array" ref="H176">MMS_Dairy_N2ODirect_Equations.VEERG_4_3_1_3__3a_TotalAnnualNitrogenExcretedGreaterThanOneYearVariation(H166,H146,H171)</f>
        <v>0</v>
      </c>
      <c r="I176" s="16" t="str">
        <f>$E$157</f>
        <v>kg N</v>
      </c>
      <c r="N176" s="15" cm="1">
        <f t="array" ref="N176">MMS_Dairy_N2ODirect_Equations.VEERG_4_3_1_3__3a_TotalAnnualNitrogenExcretedGreaterThanOneYearVariation(D166,N146,N171)</f>
        <v>18147.548038521214</v>
      </c>
      <c r="O176" s="15" cm="1">
        <f t="array" ref="O176">MMS_Dairy_N2ODirect_Equations.VEERG_4_3_1_3__3a_TotalAnnualNitrogenExcretedGreaterThanOneYearVariation(E166,O146,O171)</f>
        <v>8288.9955762645804</v>
      </c>
      <c r="P176" s="15" cm="1">
        <f t="array" ref="P176">MMS_Dairy_N2ODirect_Equations.VEERG_4_3_1_3__3a_TotalAnnualNitrogenExcretedGreaterThanOneYearVariation(F166,P146,P171)</f>
        <v>0</v>
      </c>
      <c r="Q176" s="15" cm="1">
        <f t="array" ref="Q176">MMS_Dairy_N2ODirect_Equations.VEERG_4_3_1_3__3a_TotalAnnualNitrogenExcretedGreaterThanOneYearVariation(G166,Q146,Q171)</f>
        <v>10419.59526090311</v>
      </c>
      <c r="R176" s="15" cm="1">
        <f t="array" ref="R176">MMS_Dairy_N2ODirect_Equations.VEERG_4_3_1_3__3a_TotalAnnualNitrogenExcretedGreaterThanOneYearVariation(H166,R146,R171)</f>
        <v>0</v>
      </c>
      <c r="S176" s="16" t="str">
        <f>$E$157</f>
        <v>kg N</v>
      </c>
    </row>
    <row r="177" spans="3:21" ht="20.100000000000001" customHeight="1" x14ac:dyDescent="0.25"/>
    <row r="178" spans="3:21" ht="20.100000000000001" customHeight="1" x14ac:dyDescent="0.25"/>
    <row r="179" spans="3:21" ht="20.100000000000001" customHeight="1" x14ac:dyDescent="0.25">
      <c r="C179" s="89"/>
      <c r="D179" s="89"/>
      <c r="E179" s="89"/>
      <c r="F179" s="89"/>
      <c r="G179" s="89"/>
      <c r="H179" s="89"/>
      <c r="I179" s="89"/>
      <c r="J179" s="89"/>
      <c r="K179" s="89"/>
      <c r="M179" s="89"/>
      <c r="N179" s="89"/>
      <c r="O179" s="89"/>
      <c r="P179" s="89"/>
      <c r="Q179" s="89"/>
      <c r="R179" s="89"/>
      <c r="S179" s="89"/>
      <c r="T179" s="89"/>
      <c r="U179" s="89"/>
    </row>
    <row r="180" spans="3:21" ht="20.100000000000001" customHeight="1" x14ac:dyDescent="0.25">
      <c r="D180" s="2"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17" t="str" cm="1">
        <f t="array" ref="D181">MMS_Dairy_N2ODirect_Equations.VEERG_4_3_1_3__3b_TotalAnnualNitrogenExcretedLessThanOneYear_Source()</f>
        <v>VEERG 2026: 4.3.1.3, Equation (3b)</v>
      </c>
    </row>
    <row r="182" spans="3:21" ht="20.100000000000001" customHeight="1" x14ac:dyDescent="0.25">
      <c r="D182" s="25"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17" t="s">
        <v>343</v>
      </c>
      <c r="E183" s="117" t="str" cm="1">
        <f t="array" aca="1" ref="E183" ca="1">Common_InputFunctions.Utility_DisplayFunctionName(D213)</f>
        <v>=MMS_Dairy_N2ODirect_Equations.VEERG_4_3_1_3__3b_TotalAnnualNitrogenExcretedLessThanOneYearVariation</v>
      </c>
    </row>
    <row r="184" spans="3:21" ht="20.100000000000001" customHeight="1" x14ac:dyDescent="0.25">
      <c r="D184" s="2"/>
    </row>
    <row r="185" spans="3:21" ht="20.100000000000001" customHeight="1" x14ac:dyDescent="0.25">
      <c r="D185" s="2"/>
    </row>
    <row r="186" spans="3:21" ht="20.100000000000001" customHeight="1" x14ac:dyDescent="0.25">
      <c r="D186" s="76" t="s">
        <v>344</v>
      </c>
      <c r="E186" s="1" t="str" cm="1">
        <f t="array" ref="E186">MMS_Dairy_N2ODirect_Equations.VEERG_4_3_1_3__3b_TotalAnnualNitrogenExcretedLessThanOneYear_Variable()</f>
        <v>AE_j35</v>
      </c>
    </row>
    <row r="187" spans="3:21" ht="20.100000000000001" customHeight="1" x14ac:dyDescent="0.25">
      <c r="D187" s="76" t="s">
        <v>118</v>
      </c>
      <c r="E187" s="9"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19" t="str" cm="1">
        <f t="array" ref="D189:E193">_xlfn.CHOOSECOLS(MMS_Dairy_N2ODirect_Equations.VEERG_4_3_1_3__3b_TotalAnnualNitrogenExcretedLessThanOneYear_Arguments(),1,2)</f>
        <v>N_j35</v>
      </c>
      <c r="E189" s="124" t="str">
        <v>number of dairy cattle in classes j=3,5</v>
      </c>
      <c r="F189" s="125"/>
      <c r="G189" s="119" t="str" cm="1">
        <f t="array" ref="G189:H193">_xlfn.CHOOSECOLS(MMS_Dairy_N2ODirect_Equations.VEERG_4_3_1_3__3b_TotalAnnualNitrogenExcretedLessThanOneYear_Arguments(),3,4)</f>
        <v>head</v>
      </c>
      <c r="H189" s="120" t="str">
        <v>Input</v>
      </c>
      <c r="I189" s="126" t="str" cm="1">
        <f t="array" aca="1" ref="I189" ca="1">HYPERLINK(Common_InputFunctions.Utility_SourceHyperlink($D$163),$D$163)</f>
        <v>Table_N_j</v>
      </c>
    </row>
    <row r="190" spans="3:21" ht="20.100000000000001" customHeight="1" x14ac:dyDescent="0.25">
      <c r="D190" s="119" t="str">
        <v>NE_j35</v>
      </c>
      <c r="E190" s="124" t="str">
        <v>nitrogen excreted by weaned dairy cattle less than one year old (kg N/head/day)</v>
      </c>
      <c r="F190" s="125"/>
      <c r="G190" s="119" t="str">
        <v>kg N/head/day</v>
      </c>
      <c r="H190" s="127" t="str">
        <v>Calculated from 4.3.1.3 (4)</v>
      </c>
      <c r="I190" s="126" t="str" cm="1">
        <f t="array" aca="1" ref="I190" ca="1">HYPERLINK(Common_InputFunctions.Utility_SourceHyperlink($D$143),$D$143)</f>
        <v>M1_Table_NE_j</v>
      </c>
    </row>
    <row r="191" spans="3:21" ht="20.100000000000001" customHeight="1" x14ac:dyDescent="0.25">
      <c r="D191" s="119" t="str">
        <v>NPW_j35</v>
      </c>
      <c r="E191" s="124" t="str">
        <v>nitrogen excreted by pre-weaned calves (kg N/head/day)</v>
      </c>
      <c r="F191" s="125"/>
      <c r="G191" s="119" t="str">
        <v>kg N/head/day</v>
      </c>
      <c r="H191" s="127" t="str">
        <v>Constant</v>
      </c>
      <c r="I191" s="126" t="str" cm="1">
        <f t="array" aca="1" ref="I191" ca="1">HYPERLINK(Common_InputFunctions.Utility_SourceHyperlink($D$195),$D$195)</f>
        <v>Table_NPW_j-3-5</v>
      </c>
    </row>
    <row r="192" spans="3:21" ht="20.100000000000001" customHeight="1" x14ac:dyDescent="0.25">
      <c r="D192" s="119" t="str">
        <v>D_j35</v>
      </c>
      <c r="E192" s="124" t="str">
        <v>duration of stay on farm for weaned dairy cattle less than one year old (days)</v>
      </c>
      <c r="F192" s="125"/>
      <c r="G192" s="119" t="str">
        <v>days</v>
      </c>
      <c r="H192" s="120" t="str">
        <v>Input</v>
      </c>
      <c r="I192" s="126" t="str" cm="1">
        <f t="array" aca="1" ref="I192" ca="1">HYPERLINK(Common_InputFunctions.Utility_SourceHyperlink($D$200),$D$200)</f>
        <v>M1_Table_D_j-3-5</v>
      </c>
    </row>
    <row r="193" spans="1:19" ht="20.100000000000001" customHeight="1" x14ac:dyDescent="0.25">
      <c r="D193" s="119" t="str">
        <v>DPW_j35</v>
      </c>
      <c r="E193" s="124" t="str">
        <v>duration of stay on farm for pre-weaned calves (days)</v>
      </c>
      <c r="F193" s="125"/>
      <c r="G193" s="119" t="str">
        <v>days</v>
      </c>
      <c r="H193" s="120" t="str">
        <v>Input</v>
      </c>
      <c r="I193" s="126" t="str" cm="1">
        <f t="array" aca="1" ref="I193" ca="1">HYPERLINK(Common_InputFunctions.Utility_SourceHyperlink($D$205),$D$205)</f>
        <v>M1_Table_DPW_j</v>
      </c>
    </row>
    <row r="194" spans="1:19" ht="20.100000000000001" customHeight="1" x14ac:dyDescent="0.25"/>
    <row r="195" spans="1:19" ht="20.100000000000001" customHeight="1" x14ac:dyDescent="0.25">
      <c r="D195" s="121" t="s">
        <v>470</v>
      </c>
    </row>
    <row r="196" spans="1:19" ht="20.100000000000001" customHeight="1" x14ac:dyDescent="0.25">
      <c r="D196" s="122" t="s">
        <v>471</v>
      </c>
    </row>
    <row r="197" spans="1:19" ht="20.100000000000001" customHeight="1" x14ac:dyDescent="0.25">
      <c r="D197" s="123" t="s">
        <v>295</v>
      </c>
      <c r="E197" s="123" t="s">
        <v>296</v>
      </c>
      <c r="F197" s="123" t="s">
        <v>297</v>
      </c>
      <c r="G197" s="123" t="s">
        <v>298</v>
      </c>
      <c r="H197" s="123" t="s">
        <v>299</v>
      </c>
    </row>
    <row r="198" spans="1:19" ht="20.100000000000001" customHeight="1" x14ac:dyDescent="0.25">
      <c r="D198" s="15">
        <v>0</v>
      </c>
      <c r="E198" s="15">
        <v>0</v>
      </c>
      <c r="F198" s="15">
        <f>'Constants - Dairy'!$G$63</f>
        <v>1.37E-2</v>
      </c>
      <c r="G198" s="15">
        <v>0</v>
      </c>
      <c r="H198" s="15">
        <f>'Constants - Dairy'!$G$64</f>
        <v>9.1999999999999998E-3</v>
      </c>
      <c r="I198" s="16" t="str">
        <f>G191</f>
        <v>kg N/head/day</v>
      </c>
    </row>
    <row r="199" spans="1:19" ht="20.100000000000001" customHeight="1" x14ac:dyDescent="0.25"/>
    <row r="200" spans="1:19" ht="20.100000000000001" customHeight="1" x14ac:dyDescent="0.25">
      <c r="D200" s="121" t="s">
        <v>472</v>
      </c>
      <c r="N200" s="121" t="s">
        <v>472</v>
      </c>
    </row>
    <row r="201" spans="1:19" ht="20.100000000000001" customHeight="1" x14ac:dyDescent="0.25">
      <c r="D201" s="122" t="s">
        <v>473</v>
      </c>
      <c r="N201" s="122" t="s">
        <v>474</v>
      </c>
    </row>
    <row r="202" spans="1:19" ht="20.100000000000001" customHeight="1" x14ac:dyDescent="0.25">
      <c r="D202" s="81" t="s">
        <v>295</v>
      </c>
      <c r="E202" s="81" t="s">
        <v>296</v>
      </c>
      <c r="F202" s="81" t="s">
        <v>297</v>
      </c>
      <c r="G202" s="81" t="s">
        <v>298</v>
      </c>
      <c r="H202" s="81" t="s">
        <v>299</v>
      </c>
      <c r="N202" s="81" t="s">
        <v>295</v>
      </c>
      <c r="O202" s="81" t="s">
        <v>296</v>
      </c>
      <c r="P202" s="81" t="s">
        <v>297</v>
      </c>
      <c r="Q202" s="81" t="s">
        <v>298</v>
      </c>
      <c r="R202" s="81" t="s">
        <v>299</v>
      </c>
    </row>
    <row r="203" spans="1:19" ht="20.100000000000001" customHeight="1" x14ac:dyDescent="0.25">
      <c r="D203" s="15">
        <v>0</v>
      </c>
      <c r="E203" s="15">
        <v>0</v>
      </c>
      <c r="F203" s="15">
        <f>INDEX(X_Table_Dairy_DurationOfStay_Method1,2,4)</f>
        <v>281</v>
      </c>
      <c r="G203" s="15">
        <v>0</v>
      </c>
      <c r="H203" s="15">
        <f>INDEX(X_Table_Dairy_DurationOfStay_Method1,2,6)</f>
        <v>281</v>
      </c>
      <c r="I203" s="16" t="str">
        <f>$G$192</f>
        <v>days</v>
      </c>
      <c r="N203" s="15">
        <v>0</v>
      </c>
      <c r="O203" s="15">
        <v>0</v>
      </c>
      <c r="P203" s="15">
        <f>INDEX(X_Table_Dairy_DurationOfStay_Method2,2,4)</f>
        <v>281</v>
      </c>
      <c r="Q203" s="15">
        <v>0</v>
      </c>
      <c r="R203" s="15">
        <f>INDEX(X_Table_Dairy_DurationOfStay_Method2,2,6)</f>
        <v>281</v>
      </c>
      <c r="S203" s="16" t="str">
        <f>$G$192</f>
        <v>days</v>
      </c>
    </row>
    <row r="204" spans="1:19" ht="20.100000000000001" customHeight="1" x14ac:dyDescent="0.25"/>
    <row r="205" spans="1:19" ht="20.100000000000001" customHeight="1" x14ac:dyDescent="0.25">
      <c r="D205" s="121" t="s">
        <v>427</v>
      </c>
      <c r="N205" s="121" t="s">
        <v>427</v>
      </c>
    </row>
    <row r="206" spans="1:19" ht="20.100000000000001" customHeight="1" x14ac:dyDescent="0.25">
      <c r="D206" s="122" t="s">
        <v>428</v>
      </c>
      <c r="N206" s="122" t="s">
        <v>475</v>
      </c>
    </row>
    <row r="207" spans="1:19" ht="20.100000000000001" customHeight="1" x14ac:dyDescent="0.25">
      <c r="D207" s="81" t="s">
        <v>295</v>
      </c>
      <c r="E207" s="81" t="s">
        <v>296</v>
      </c>
      <c r="F207" s="81" t="s">
        <v>297</v>
      </c>
      <c r="G207" s="81" t="s">
        <v>298</v>
      </c>
      <c r="H207" s="81" t="s">
        <v>299</v>
      </c>
      <c r="N207" s="81" t="s">
        <v>295</v>
      </c>
      <c r="O207" s="81" t="s">
        <v>296</v>
      </c>
      <c r="P207" s="81" t="s">
        <v>297</v>
      </c>
      <c r="Q207" s="81" t="s">
        <v>298</v>
      </c>
      <c r="R207" s="81" t="s">
        <v>299</v>
      </c>
    </row>
    <row r="208" spans="1:19" ht="20.100000000000001" customHeight="1" x14ac:dyDescent="0.25">
      <c r="A208" s="128" t="str">
        <f>HYPERLINK("#A1", "▲ Back to top")</f>
        <v>▲ Back to top</v>
      </c>
      <c r="D208" s="15">
        <f>INDEX(X_Table_Dairy_DurationOfStay_Method1,3,2)</f>
        <v>0</v>
      </c>
      <c r="E208" s="15">
        <f>INDEX(X_Table_Dairy_DurationOfStay_Method1,3,3)</f>
        <v>0</v>
      </c>
      <c r="F208" s="15">
        <f>INDEX(X_Table_Dairy_DurationOfStay_Method1,3,4)</f>
        <v>84</v>
      </c>
      <c r="G208" s="15">
        <f>INDEX(X_Table_Dairy_DurationOfStay_Method1,3,5)</f>
        <v>0</v>
      </c>
      <c r="H208" s="15">
        <f>INDEX(X_Table_Dairy_DurationOfStay_Method1,3,6)</f>
        <v>84</v>
      </c>
      <c r="I208" s="16" t="str">
        <f>$G$193</f>
        <v>days</v>
      </c>
      <c r="N208" s="15">
        <f>INDEX(X_Table_Dairy_DurationOfStay_Method1,3,2)</f>
        <v>0</v>
      </c>
      <c r="O208" s="15">
        <f>INDEX(X_Table_Dairy_DurationOfStay_Method1,3,3)</f>
        <v>0</v>
      </c>
      <c r="P208" s="15">
        <f>INDEX(X_Table_Dairy_DurationOfStay_Method2,3,4)</f>
        <v>84</v>
      </c>
      <c r="Q208" s="15">
        <f>INDEX(X_Table_Dairy_DurationOfStay_Method1,3,5)</f>
        <v>0</v>
      </c>
      <c r="R208" s="15">
        <f>INDEX(X_Table_Dairy_DurationOfStay_Method2,3,6)</f>
        <v>84</v>
      </c>
      <c r="S208" s="16" t="str">
        <f>$G$193</f>
        <v>days</v>
      </c>
    </row>
    <row r="209" spans="3:21" ht="20.100000000000001" customHeight="1" x14ac:dyDescent="0.25"/>
    <row r="210" spans="3:21" ht="20.100000000000001" customHeight="1" x14ac:dyDescent="0.25">
      <c r="D210" s="121" t="s">
        <v>476</v>
      </c>
      <c r="N210" s="121" t="s">
        <v>476</v>
      </c>
    </row>
    <row r="211" spans="3:21" ht="20.100000000000001" customHeight="1" x14ac:dyDescent="0.25">
      <c r="D211" s="122" t="s">
        <v>477</v>
      </c>
      <c r="N211" s="122" t="s">
        <v>478</v>
      </c>
    </row>
    <row r="212" spans="3:21" ht="20.100000000000001" customHeight="1" x14ac:dyDescent="0.25">
      <c r="D212" s="123" t="s">
        <v>295</v>
      </c>
      <c r="E212" s="123" t="s">
        <v>296</v>
      </c>
      <c r="F212" s="123" t="s">
        <v>297</v>
      </c>
      <c r="G212" s="123" t="s">
        <v>298</v>
      </c>
      <c r="H212" s="123" t="s">
        <v>299</v>
      </c>
      <c r="N212" s="123" t="s">
        <v>295</v>
      </c>
      <c r="O212" s="123" t="s">
        <v>296</v>
      </c>
      <c r="P212" s="123" t="s">
        <v>297</v>
      </c>
      <c r="Q212" s="123" t="s">
        <v>298</v>
      </c>
      <c r="R212" s="123" t="s">
        <v>299</v>
      </c>
    </row>
    <row r="213" spans="3:21" ht="20.100000000000001" customHeight="1" x14ac:dyDescent="0.25">
      <c r="D213" s="15" cm="1">
        <f t="array" ref="D213">MMS_Dairy_N2ODirect_Equations.VEERG_4_3_1_3__3b_TotalAnnualNitrogenExcretedLessThanOneYearVariation(D166,D146,D198,D203,D208)</f>
        <v>0</v>
      </c>
      <c r="E213" s="15" cm="1">
        <f t="array" ref="E213">MMS_Dairy_N2ODirect_Equations.VEERG_4_3_1_3__3b_TotalAnnualNitrogenExcretedLessThanOneYearVariation(E166,E146,E198,E203,E208)</f>
        <v>0</v>
      </c>
      <c r="F213" s="15" cm="1">
        <f t="array" ref="F213">MMS_Dairy_N2ODirect_Equations.VEERG_4_3_1_3__3b_TotalAnnualNitrogenExcretedLessThanOneYearVariation(F166,F146,F198,F203,F208)</f>
        <v>3301.419278356519</v>
      </c>
      <c r="G213" s="15" cm="1">
        <f t="array" ref="G213">MMS_Dairy_N2ODirect_Equations.VEERG_4_3_1_3__3b_TotalAnnualNitrogenExcretedLessThanOneYearVariation(G166,G146,G198,G203,G208)</f>
        <v>0</v>
      </c>
      <c r="H213" s="15" cm="1">
        <f t="array" ref="H213">MMS_Dairy_N2ODirect_Equations.VEERG_4_3_1_3__3b_TotalAnnualNitrogenExcretedLessThanOneYearVariation(H166,H146,H198,H203,H208)</f>
        <v>4361.9480490479727</v>
      </c>
      <c r="I213" s="16" t="str">
        <f>$E$187</f>
        <v>kg N</v>
      </c>
      <c r="N213" s="15" cm="1">
        <f t="array" ref="N213">MMS_Dairy_N2ODirect_Equations.VEERG_4_3_1_3__3b_TotalAnnualNitrogenExcretedLessThanOneYearVariation(D166,N146,D198,N203,N208)</f>
        <v>0</v>
      </c>
      <c r="O213" s="15" cm="1">
        <f t="array" ref="O213">MMS_Dairy_N2ODirect_Equations.VEERG_4_3_1_3__3b_TotalAnnualNitrogenExcretedLessThanOneYearVariation(E166,O146,E198,O203,O208)</f>
        <v>0</v>
      </c>
      <c r="P213" s="15" cm="1">
        <f t="array" ref="P213">MMS_Dairy_N2ODirect_Equations.VEERG_4_3_1_3__3b_TotalAnnualNitrogenExcretedLessThanOneYearVariation(F166,P146,F198,P203,P208)</f>
        <v>3301.419278356519</v>
      </c>
      <c r="Q213" s="15" cm="1">
        <f t="array" ref="Q213">MMS_Dairy_N2ODirect_Equations.VEERG_4_3_1_3__3b_TotalAnnualNitrogenExcretedLessThanOneYearVariation(G166,Q146,G198,Q203,Q208)</f>
        <v>0</v>
      </c>
      <c r="R213" s="15" cm="1">
        <f t="array" ref="R213">MMS_Dairy_N2ODirect_Equations.VEERG_4_3_1_3__3b_TotalAnnualNitrogenExcretedLessThanOneYearVariation(H166,R146,H198,R203,R208)</f>
        <v>4361.9480490479727</v>
      </c>
      <c r="S213" s="16" t="str">
        <f>$E$187</f>
        <v>kg N</v>
      </c>
    </row>
    <row r="214" spans="3:21" ht="20.100000000000001" customHeight="1" x14ac:dyDescent="0.25"/>
    <row r="215" spans="3:21" ht="20.100000000000001" customHeight="1" x14ac:dyDescent="0.25"/>
    <row r="216" spans="3:21" ht="20.100000000000001" customHeight="1" x14ac:dyDescent="0.25">
      <c r="C216" s="89"/>
      <c r="D216" s="89"/>
      <c r="E216" s="89"/>
      <c r="F216" s="89"/>
      <c r="G216" s="89"/>
      <c r="H216" s="89"/>
      <c r="I216" s="89"/>
      <c r="J216" s="89"/>
      <c r="K216" s="89"/>
      <c r="M216" s="89"/>
      <c r="N216" s="89"/>
      <c r="O216" s="89"/>
      <c r="P216" s="89"/>
      <c r="Q216" s="89"/>
      <c r="R216" s="89"/>
      <c r="S216" s="89"/>
      <c r="T216" s="89"/>
      <c r="U216" s="89"/>
    </row>
    <row r="217" spans="3:21" ht="20.100000000000001" customHeight="1" x14ac:dyDescent="0.25">
      <c r="D217" s="2" t="str" cm="1">
        <f t="array" ref="D217">MMS_Dairy_N2ODirect_Equations.VEERG_4_3_1_3__2_TotalNitrogenInEachMMS_Title()</f>
        <v>Total nitrogen in each MMS</v>
      </c>
    </row>
    <row r="218" spans="3:21" ht="20.100000000000001" customHeight="1" x14ac:dyDescent="0.25">
      <c r="D218" s="17" t="str" cm="1">
        <f t="array" ref="D218">MMS_Dairy_N2ODirect_Equations.VEERG_4_3_1_3__2_TotalNitrogenInEachMMS_Source()</f>
        <v>VEERG 2026: 4.3.1.3, Equation (2)</v>
      </c>
    </row>
    <row r="219" spans="3:21" ht="20.100000000000001" customHeight="1" x14ac:dyDescent="0.25">
      <c r="D219" s="117" t="s">
        <v>343</v>
      </c>
      <c r="E219" s="117"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2"/>
    </row>
    <row r="222" spans="3:21" ht="20.100000000000001" customHeight="1" x14ac:dyDescent="0.25">
      <c r="D222" s="76" t="s">
        <v>344</v>
      </c>
      <c r="E222" s="1" t="str" cm="1">
        <f t="array" ref="E222">MMS_Dairy_N2ODirect_Equations.VEERG_4_3_1_3__2_TotalNitrogenInEachMMS_Variable()</f>
        <v>MN_jm</v>
      </c>
    </row>
    <row r="223" spans="3:21" ht="20.100000000000001" customHeight="1" x14ac:dyDescent="0.25">
      <c r="D223" s="76" t="s">
        <v>118</v>
      </c>
      <c r="E223" s="9" t="str" cm="1">
        <f t="array" ref="E223">MMS_Dairy_N2ODirect_Equations.VEERG_4_3_1_3__2_TotalNitrogenInEachMMS_Unit()</f>
        <v>kg N</v>
      </c>
    </row>
    <row r="224" spans="3:21" ht="20.100000000000001" customHeight="1" x14ac:dyDescent="0.25"/>
    <row r="225" spans="4:20" ht="20.100000000000001" customHeight="1" x14ac:dyDescent="0.25">
      <c r="D225" s="119" t="str" cm="1">
        <f t="array" ref="D225:E226">_xlfn.CHOOSECOLS(MMS_Dairy_N2ODirect_Equations.VEERG_4_3_1_3__2_TotalNitrogenInEachMMS_Arguments(),1,2)</f>
        <v>AE_j</v>
      </c>
      <c r="E225" s="119" t="str">
        <v>total nitrogen excreted by each dairy class</v>
      </c>
      <c r="F225" s="119"/>
      <c r="G225" s="119" t="str" cm="1">
        <f t="array" ref="G225:H226">_xlfn.CHOOSECOLS(MMS_Dairy_N2ODirect_Equations.VEERG_4_3_1_3__2_TotalNitrogenInEachMMS_Arguments(),3,4)</f>
        <v>kg N</v>
      </c>
      <c r="H225" s="127" t="str">
        <v>Calculated from 4.3.1.3 (3a) and (3b)</v>
      </c>
      <c r="I225" s="126" t="str" cm="1">
        <f t="array" aca="1" ref="I225" ca="1">HYPERLINK(Common_InputFunctions.Utility_SourceHyperlink($D$173),$D$173)</f>
        <v>M1_Table_AE_j-1-2-4</v>
      </c>
      <c r="J225" s="126" t="str" cm="1">
        <f t="array" aca="1" ref="J225" ca="1">HYPERLINK(Common_InputFunctions.Utility_SourceHyperlink($D$210),$D$210)</f>
        <v>M1_Table_AE_j</v>
      </c>
    </row>
    <row r="226" spans="4:20" ht="20.100000000000001" customHeight="1" x14ac:dyDescent="0.25">
      <c r="D226" s="119" t="str">
        <v>MMS_jm</v>
      </c>
      <c r="E226" s="119" t="str">
        <v>manure management system fraction for class j and system m</v>
      </c>
      <c r="F226" s="119"/>
      <c r="G226" s="119" t="str">
        <v>fraction</v>
      </c>
      <c r="H226" s="120" t="str">
        <v>Input</v>
      </c>
      <c r="I226" s="126" t="str" cm="1">
        <f t="array" aca="1" ref="I226" ca="1">HYPERLINK(Common_InputFunctions.Utility_SourceHyperlink($D$228),$D$228)</f>
        <v>M1_Table_MMS_j_m</v>
      </c>
      <c r="J226" s="126" t="str" cm="1">
        <f t="array" aca="1" ref="J226" ca="1">HYPERLINK(Common_InputFunctions.Utility_SourceHyperlink($D$228),$D$228)</f>
        <v>M1_Table_MMS_j_m</v>
      </c>
    </row>
    <row r="227" spans="4:20" ht="20.100000000000001" customHeight="1" x14ac:dyDescent="0.25"/>
    <row r="228" spans="4:20" ht="20.100000000000001" customHeight="1" x14ac:dyDescent="0.25">
      <c r="D228" s="121" t="s">
        <v>384</v>
      </c>
      <c r="N228" s="121" t="s">
        <v>385</v>
      </c>
    </row>
    <row r="229" spans="4:20" ht="20.100000000000001" customHeight="1" x14ac:dyDescent="0.25">
      <c r="D229" s="122" t="s">
        <v>479</v>
      </c>
      <c r="N229" s="122" t="s">
        <v>480</v>
      </c>
    </row>
    <row r="230" spans="4:20" ht="20.100000000000001" customHeight="1" x14ac:dyDescent="0.25">
      <c r="D230" s="81" t="s">
        <v>161</v>
      </c>
      <c r="E230" s="81" t="s">
        <v>388</v>
      </c>
      <c r="F230" s="81" t="s">
        <v>295</v>
      </c>
      <c r="G230" s="81" t="s">
        <v>296</v>
      </c>
      <c r="H230" s="81" t="s">
        <v>297</v>
      </c>
      <c r="I230" s="81" t="s">
        <v>298</v>
      </c>
      <c r="J230" s="81" t="s">
        <v>299</v>
      </c>
      <c r="N230" s="81" t="s">
        <v>161</v>
      </c>
      <c r="O230" s="81" t="s">
        <v>388</v>
      </c>
      <c r="P230" s="81" t="s">
        <v>295</v>
      </c>
      <c r="Q230" s="81" t="s">
        <v>296</v>
      </c>
      <c r="R230" s="81" t="s">
        <v>297</v>
      </c>
      <c r="S230" s="81" t="s">
        <v>298</v>
      </c>
      <c r="T230" s="81" t="s">
        <v>299</v>
      </c>
    </row>
    <row r="231" spans="4:20" ht="20.100000000000001" customHeight="1" x14ac:dyDescent="0.25">
      <c r="D231" s="15" t="str">
        <f>INDEX(X_Table_Dairy_ProductionSystems_Method1,3,1)</f>
        <v>Milking shed</v>
      </c>
      <c r="E231" s="15" t="str">
        <f>INDEX(X_Table_Dairy_Stage1MMS_1_AnaerobicLagoon,2,1)</f>
        <v>Anaerobic lagoon</v>
      </c>
      <c r="F231" s="15" cm="1">
        <f t="array" ref="F231">InputFunctions_Dairy.CalculateFractionInMMSAfterSolidSeparation(INDEX(X_Table_Dairy_ProductionSystems_Method1, 3, 2),INDEX(X_Table_Dairy_Stage1MMS_1_AnaerobicLagoon,2,2),X_Cell_Dairy_Stage1MMS_1_AnaerobicLagoon_AmountSeparated_Method1)</f>
        <v>2.2000000000000002E-2</v>
      </c>
      <c r="G231" s="15" cm="1">
        <f t="array" ref="G231">InputFunctions_Dairy.CalculateFractionInMMSAfterSolidSeparation(INDEX(X_Table_Dairy_ProductionSystems_Method1, 3, 3),INDEX(X_Table_Dairy_Stage1MMS_1_AnaerobicLagoon,2,3),X_Cell_Dairy_Stage1MMS_1_AnaerobicLagoon_AmountSeparated_Method1)</f>
        <v>2.2000000000000002E-2</v>
      </c>
      <c r="H231" s="15" cm="1">
        <f t="array" ref="H231">InputFunctions_Dairy.CalculateFractionInMMSAfterSolidSeparation(INDEX(X_Table_Dairy_ProductionSystems_Method1, 3, 4),INDEX(X_Table_Dairy_Stage1MMS_1_AnaerobicLagoon,2,4),X_Cell_Dairy_Stage1MMS_1_AnaerobicLagoon_AmountSeparated_Method1)</f>
        <v>2.2000000000000002E-2</v>
      </c>
      <c r="I231" s="15" cm="1">
        <f t="array" ref="I231">InputFunctions_Dairy.CalculateFractionInMMSAfterSolidSeparation(INDEX(X_Table_Dairy_ProductionSystems_Method1, 3, 5),INDEX(X_Table_Dairy_Stage1MMS_1_AnaerobicLagoon,2,5),X_Cell_Dairy_Stage1MMS_1_AnaerobicLagoon_AmountSeparated_Method1)</f>
        <v>2.2000000000000002E-2</v>
      </c>
      <c r="J231" s="15" cm="1">
        <f t="array" ref="J231">InputFunctions_Dairy.CalculateFractionInMMSAfterSolidSeparation(INDEX(X_Table_Dairy_ProductionSystems_Method1, 3, 6),INDEX(X_Table_Dairy_Stage1MMS_1_AnaerobicLagoon,2,6),X_Cell_Dairy_Stage1MMS_1_AnaerobicLagoon_AmountSeparated_Method1)</f>
        <v>2.2000000000000002E-2</v>
      </c>
      <c r="N231" s="15" t="str">
        <f>INDEX(X_Table_Dairy_ProductionSystems_Method1,3,1)</f>
        <v>Milking shed</v>
      </c>
      <c r="O231" s="15" t="str">
        <f>INDEX(X_Table_Dairy_Stage1MMS_1_AnaerobicLagoon,2,1)</f>
        <v>Anaerobic lagoon</v>
      </c>
      <c r="P231" s="15" cm="1">
        <f t="array" ref="P231">InputFunctions_Dairy.CalculateFractionInMMSAfterSolidSeparation(INDEX(X_Table_Dairy_ProductionSystems_Method2, 3, 2),INDEX(X_Table_Dairy_Stage1MMS_1_AnaerobicLagoon,2,2),X_Cell_Dairy_Stage1MMS_1_AnaerobicLagoon_AmountSeparated_Method2)</f>
        <v>2.2000000000000002E-2</v>
      </c>
      <c r="Q231" s="15" cm="1">
        <f t="array" ref="Q231">InputFunctions_Dairy.CalculateFractionInMMSAfterSolidSeparation(INDEX(X_Table_Dairy_ProductionSystems_Method2, 3, 3),INDEX(X_Table_Dairy_Stage1MMS_1_AnaerobicLagoon,2,3),X_Cell_Dairy_Stage1MMS_1_AnaerobicLagoon_AmountSeparated_Method2)</f>
        <v>2.2000000000000002E-2</v>
      </c>
      <c r="R231" s="15" cm="1">
        <f t="array" ref="R231">InputFunctions_Dairy.CalculateFractionInMMSAfterSolidSeparation(INDEX(X_Table_Dairy_ProductionSystems_Method2, 3, 4),INDEX(X_Table_Dairy_Stage1MMS_1_AnaerobicLagoon,2,4),X_Cell_Dairy_Stage1MMS_1_AnaerobicLagoon_AmountSeparated_Method2)</f>
        <v>2.2000000000000002E-2</v>
      </c>
      <c r="S231" s="15" cm="1">
        <f t="array" ref="S231">InputFunctions_Dairy.CalculateFractionInMMSAfterSolidSeparation(INDEX(X_Table_Dairy_ProductionSystems_Method2, 3, 5),INDEX(X_Table_Dairy_Stage1MMS_1_AnaerobicLagoon,2,5),X_Cell_Dairy_Stage1MMS_1_AnaerobicLagoon_AmountSeparated_Method2)</f>
        <v>2.2000000000000002E-2</v>
      </c>
      <c r="T231" s="1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15" t="str">
        <f>INDEX(X_Table_Dairy_ProductionSystems_Method1,3,1)</f>
        <v>Milking shed</v>
      </c>
      <c r="E232" s="15" t="str">
        <f>INDEX(X_Table_Dairy_Stage1MMS_1_SumpAndDispersal,2,1)</f>
        <v>Sump and dispersal system</v>
      </c>
      <c r="F232" s="1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1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1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1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1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15" t="str">
        <f>INDEX(X_Table_Dairy_ProductionSystems_Method1,3,1)</f>
        <v>Milking shed</v>
      </c>
      <c r="O232" s="15" t="str">
        <f>INDEX(X_Table_Dairy_Stage1MMS_1_SumpAndDispersal,2,1)</f>
        <v>Sump and dispersal system</v>
      </c>
      <c r="P232" s="1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1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1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1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1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15" t="str">
        <f>INDEX(X_Table_Dairy_ProductionSystems_Method1,3,1)</f>
        <v>Milking shed</v>
      </c>
      <c r="E233" s="15" t="str">
        <f>INDEX(X_Table_Dairy_Stage1MMS_1_DrainsToPaddock,2,1)</f>
        <v>Drains to paddock</v>
      </c>
      <c r="F233" s="15" cm="1">
        <f t="array" ref="F233">InputFunctions_Dairy.CalculateFractionInMMSAfterSolidSeparation(INDEX(X_Table_Dairy_ProductionSystems_Method1, 3, 2),INDEX(X_Table_Dairy_Stage1MMS_1_DrainsToPaddock,2,2),X_Cell_Dairy_Stage1MMS_1_AnaerobicLagoon_AmountSeparated_Method1)</f>
        <v>2.2000000000000002E-2</v>
      </c>
      <c r="G233" s="15" cm="1">
        <f t="array" ref="G233">InputFunctions_Dairy.CalculateFractionInMMSAfterSolidSeparation(INDEX(X_Table_Dairy_ProductionSystems_Method1, 3, 3),INDEX(X_Table_Dairy_Stage1MMS_1_DrainsToPaddock,2,3),X_Cell_Dairy_Stage1MMS_1_AnaerobicLagoon_AmountSeparated_Method1)</f>
        <v>2.2000000000000002E-2</v>
      </c>
      <c r="H233" s="15" cm="1">
        <f t="array" ref="H233">InputFunctions_Dairy.CalculateFractionInMMSAfterSolidSeparation(INDEX(X_Table_Dairy_ProductionSystems_Method1, 3, 4),INDEX(X_Table_Dairy_Stage1MMS_1_DrainsToPaddock,2,4),X_Cell_Dairy_Stage1MMS_1_AnaerobicLagoon_AmountSeparated_Method1)</f>
        <v>2.2000000000000002E-2</v>
      </c>
      <c r="I233" s="15" cm="1">
        <f t="array" ref="I233">InputFunctions_Dairy.CalculateFractionInMMSAfterSolidSeparation(INDEX(X_Table_Dairy_ProductionSystems_Method1, 3, 5),INDEX(X_Table_Dairy_Stage1MMS_1_DrainsToPaddock,2,5),X_Cell_Dairy_Stage1MMS_1_AnaerobicLagoon_AmountSeparated_Method1)</f>
        <v>2.2000000000000002E-2</v>
      </c>
      <c r="J233" s="15" cm="1">
        <f t="array" ref="J233">InputFunctions_Dairy.CalculateFractionInMMSAfterSolidSeparation(INDEX(X_Table_Dairy_ProductionSystems_Method1, 3, 6),INDEX(X_Table_Dairy_Stage1MMS_1_DrainsToPaddock,2,6),X_Cell_Dairy_Stage1MMS_1_AnaerobicLagoon_AmountSeparated_Method1)</f>
        <v>2.2000000000000002E-2</v>
      </c>
      <c r="N233" s="15" t="str">
        <f>INDEX(X_Table_Dairy_ProductionSystems_Method1,3,1)</f>
        <v>Milking shed</v>
      </c>
      <c r="O233" s="15" t="str">
        <f>INDEX(X_Table_Dairy_Stage1MMS_1_DrainsToPaddock,2,1)</f>
        <v>Drains to paddock</v>
      </c>
      <c r="P233" s="15" cm="1">
        <f t="array" ref="P233">InputFunctions_Dairy.CalculateFractionInMMSAfterSolidSeparation(INDEX(X_Table_Dairy_ProductionSystems_Method2, 3, 2),INDEX(X_Table_Dairy_Stage1MMS_1_DrainsToPaddock,2,2),X_Cell_Dairy_Stage1MMS_1_AnaerobicLagoon_AmountSeparated_Method2)</f>
        <v>2.2000000000000002E-2</v>
      </c>
      <c r="Q233" s="15" cm="1">
        <f t="array" ref="Q233">InputFunctions_Dairy.CalculateFractionInMMSAfterSolidSeparation(INDEX(X_Table_Dairy_ProductionSystems_Method2, 3, 3),INDEX(X_Table_Dairy_Stage1MMS_1_DrainsToPaddock,2,3),X_Cell_Dairy_Stage1MMS_1_AnaerobicLagoon_AmountSeparated_Method2)</f>
        <v>2.2000000000000002E-2</v>
      </c>
      <c r="R233" s="15" cm="1">
        <f t="array" ref="R233">InputFunctions_Dairy.CalculateFractionInMMSAfterSolidSeparation(INDEX(X_Table_Dairy_ProductionSystems_Method2, 3, 4),INDEX(X_Table_Dairy_Stage1MMS_1_DrainsToPaddock,2,4),X_Cell_Dairy_Stage1MMS_1_AnaerobicLagoon_AmountSeparated_Method2)</f>
        <v>2.2000000000000002E-2</v>
      </c>
      <c r="S233" s="15" cm="1">
        <f t="array" ref="S233">InputFunctions_Dairy.CalculateFractionInMMSAfterSolidSeparation(INDEX(X_Table_Dairy_ProductionSystems_Method2, 3, 5),INDEX(X_Table_Dairy_Stage1MMS_1_DrainsToPaddock,2,5),X_Cell_Dairy_Stage1MMS_1_AnaerobicLagoon_AmountSeparated_Method2)</f>
        <v>2.2000000000000002E-2</v>
      </c>
      <c r="T233" s="1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15" t="str">
        <f>INDEX(X_Table_Dairy_ProductionSystems_Method1,3,1)</f>
        <v>Milking shed</v>
      </c>
      <c r="E234" s="15" t="s">
        <v>75</v>
      </c>
      <c r="F234" s="1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1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1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1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1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15" t="str">
        <f>INDEX(X_Table_Dairy_ProductionSystems_Method1,3,1)</f>
        <v>Milking shed</v>
      </c>
      <c r="O234" s="15" t="s">
        <v>75</v>
      </c>
      <c r="P234" s="1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1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1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1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1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15" t="str">
        <f>INDEX(X_Table_Dairy_ProductionSystems_Method1,4,1)</f>
        <v>Feed pad</v>
      </c>
      <c r="E235" s="15" t="str">
        <f>INDEX(X_Table_Dairy_Stage1MMS_2_AnaerobicLagoon,2,1)</f>
        <v>Anaerobic lagoon</v>
      </c>
      <c r="F235" s="15" cm="1">
        <f t="array" ref="F235">InputFunctions_Dairy.CalculateFractionInMMSAfterSolidSeparation(INDEX(X_Table_Dairy_ProductionSystems_Method1, 4, 2),INDEX(X_Table_Dairy_Stage1MMS_2_AnaerobicLagoon,2,2),X_Cell_Dairy_Stage1MMS_2_AnaerobicLagoon_AmountSeparated_Method1)</f>
        <v>8.8999999999999996E-2</v>
      </c>
      <c r="G235" s="15" cm="1">
        <f t="array" ref="G235">InputFunctions_Dairy.CalculateFractionInMMSAfterSolidSeparation(INDEX(X_Table_Dairy_ProductionSystems_Method1, 4, 3),INDEX(X_Table_Dairy_Stage1MMS_2_AnaerobicLagoon,2,3),X_Cell_Dairy_Stage1MMS_2_AnaerobicLagoon_AmountSeparated_Method1)</f>
        <v>8.8999999999999996E-2</v>
      </c>
      <c r="H235" s="15" cm="1">
        <f t="array" ref="H235">InputFunctions_Dairy.CalculateFractionInMMSAfterSolidSeparation(INDEX(X_Table_Dairy_ProductionSystems_Method1, 4, 4),INDEX(X_Table_Dairy_Stage1MMS_2_AnaerobicLagoon,2,4),X_Cell_Dairy_Stage1MMS_2_AnaerobicLagoon_AmountSeparated_Method1)</f>
        <v>8.8999999999999996E-2</v>
      </c>
      <c r="I235" s="15" cm="1">
        <f t="array" ref="I235">InputFunctions_Dairy.CalculateFractionInMMSAfterSolidSeparation(INDEX(X_Table_Dairy_ProductionSystems_Method1, 4, 5),INDEX(X_Table_Dairy_Stage1MMS_2_AnaerobicLagoon,2,5),X_Cell_Dairy_Stage1MMS_2_AnaerobicLagoon_AmountSeparated_Method1)</f>
        <v>8.8999999999999996E-2</v>
      </c>
      <c r="J235" s="15" cm="1">
        <f t="array" ref="J235">InputFunctions_Dairy.CalculateFractionInMMSAfterSolidSeparation(INDEX(X_Table_Dairy_ProductionSystems_Method1, 4, 6),INDEX(X_Table_Dairy_Stage1MMS_2_AnaerobicLagoon,2,6),X_Cell_Dairy_Stage1MMS_2_AnaerobicLagoon_AmountSeparated_Method1)</f>
        <v>8.8999999999999996E-2</v>
      </c>
      <c r="N235" s="15" t="str">
        <f>INDEX(X_Table_Dairy_ProductionSystems_Method1,4,1)</f>
        <v>Feed pad</v>
      </c>
      <c r="O235" s="15" t="str">
        <f>INDEX(X_Table_Dairy_Stage1MMS_2_AnaerobicLagoon,2,1)</f>
        <v>Anaerobic lagoon</v>
      </c>
      <c r="P235" s="15" cm="1">
        <f t="array" ref="P235">InputFunctions_Dairy.CalculateFractionInMMSAfterSolidSeparation(INDEX(X_Table_Dairy_ProductionSystems_Method2, 4, 2),INDEX(X_Table_Dairy_Stage1MMS_2_AnaerobicLagoon,2,2),X_Cell_Dairy_Stage1MMS_2_AnaerobicLagoon_AmountSeparated_Method2)</f>
        <v>8.8999999999999996E-2</v>
      </c>
      <c r="Q235" s="15" cm="1">
        <f t="array" ref="Q235">InputFunctions_Dairy.CalculateFractionInMMSAfterSolidSeparation(INDEX(X_Table_Dairy_ProductionSystems_Method2, 4, 3),INDEX(X_Table_Dairy_Stage1MMS_2_AnaerobicLagoon,2,3),X_Cell_Dairy_Stage1MMS_2_AnaerobicLagoon_AmountSeparated_Method2)</f>
        <v>8.8999999999999996E-2</v>
      </c>
      <c r="R235" s="15" cm="1">
        <f t="array" ref="R235">InputFunctions_Dairy.CalculateFractionInMMSAfterSolidSeparation(INDEX(X_Table_Dairy_ProductionSystems_Method2, 4, 4),INDEX(X_Table_Dairy_Stage1MMS_2_AnaerobicLagoon,2,4),X_Cell_Dairy_Stage1MMS_2_AnaerobicLagoon_AmountSeparated_Method2)</f>
        <v>8.8999999999999996E-2</v>
      </c>
      <c r="S235" s="15" cm="1">
        <f t="array" ref="S235">InputFunctions_Dairy.CalculateFractionInMMSAfterSolidSeparation(INDEX(X_Table_Dairy_ProductionSystems_Method2, 4, 5),INDEX(X_Table_Dairy_Stage1MMS_2_AnaerobicLagoon,2,5),X_Cell_Dairy_Stage1MMS_2_AnaerobicLagoon_AmountSeparated_Method2)</f>
        <v>8.8999999999999996E-2</v>
      </c>
      <c r="T235" s="1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15" t="str">
        <f>INDEX(X_Table_Dairy_ProductionSystems_Method1,4,1)</f>
        <v>Feed pad</v>
      </c>
      <c r="E236" s="15" t="str">
        <f>INDEX(X_Table_Dairy_Stage1MMS_2_SumpAndDispersal,2,1)</f>
        <v>Sump and dispersal system</v>
      </c>
      <c r="F236" s="1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1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1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1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1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15" t="str">
        <f>INDEX(X_Table_Dairy_ProductionSystems_Method1,4,1)</f>
        <v>Feed pad</v>
      </c>
      <c r="O236" s="15" t="str">
        <f>INDEX(X_Table_Dairy_Stage1MMS_2_SumpAndDispersal,2,1)</f>
        <v>Sump and dispersal system</v>
      </c>
      <c r="P236" s="1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1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1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1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1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15" t="str">
        <f>INDEX(X_Table_Dairy_ProductionSystems_Method1,4,1)</f>
        <v>Feed pad</v>
      </c>
      <c r="E237" s="15" t="str">
        <f>INDEX(X_Table_Dairy_Stage1MMS_2_DrainsToPaddock,2,1)</f>
        <v>Drains to paddock</v>
      </c>
      <c r="F237" s="15" cm="1">
        <f t="array" ref="F237">InputFunctions_Dairy.CalculateFractionInMMSAfterSolidSeparation(INDEX(X_Table_Dairy_ProductionSystems_Method1, 4, 2),INDEX(X_Table_Dairy_Stage1MMS_2_DrainsToPaddock,2,2),X_Cell_Dairy_Stage1MMS_2_DrainsToPaddock_AmountSeparated_Method1)</f>
        <v>7.1199999999999999E-2</v>
      </c>
      <c r="G237" s="15" cm="1">
        <f t="array" ref="G237">InputFunctions_Dairy.CalculateFractionInMMSAfterSolidSeparation(INDEX(X_Table_Dairy_ProductionSystems_Method1, 4, 3),INDEX(X_Table_Dairy_Stage1MMS_2_DrainsToPaddock,2,3),X_Cell_Dairy_Stage1MMS_2_DrainsToPaddock_AmountSeparated_Method1)</f>
        <v>7.1199999999999999E-2</v>
      </c>
      <c r="H237" s="15" cm="1">
        <f t="array" ref="H237">InputFunctions_Dairy.CalculateFractionInMMSAfterSolidSeparation(INDEX(X_Table_Dairy_ProductionSystems_Method1, 4, 4),INDEX(X_Table_Dairy_Stage1MMS_2_DrainsToPaddock,2,4),X_Cell_Dairy_Stage1MMS_2_DrainsToPaddock_AmountSeparated_Method1)</f>
        <v>7.1199999999999999E-2</v>
      </c>
      <c r="I237" s="15" cm="1">
        <f t="array" ref="I237">InputFunctions_Dairy.CalculateFractionInMMSAfterSolidSeparation(INDEX(X_Table_Dairy_ProductionSystems_Method1, 4, 5),INDEX(X_Table_Dairy_Stage1MMS_2_DrainsToPaddock,2,5),X_Cell_Dairy_Stage1MMS_2_DrainsToPaddock_AmountSeparated_Method1)</f>
        <v>7.1199999999999999E-2</v>
      </c>
      <c r="J237" s="15" cm="1">
        <f t="array" ref="J237">InputFunctions_Dairy.CalculateFractionInMMSAfterSolidSeparation(INDEX(X_Table_Dairy_ProductionSystems_Method1, 4, 6),INDEX(X_Table_Dairy_Stage1MMS_2_DrainsToPaddock,2,6),X_Cell_Dairy_Stage1MMS_2_DrainsToPaddock_AmountSeparated_Method1)</f>
        <v>7.1199999999999999E-2</v>
      </c>
      <c r="N237" s="15" t="str">
        <f>INDEX(X_Table_Dairy_ProductionSystems_Method1,4,1)</f>
        <v>Feed pad</v>
      </c>
      <c r="O237" s="15" t="str">
        <f>INDEX(X_Table_Dairy_Stage1MMS_2_DrainsToPaddock,2,1)</f>
        <v>Drains to paddock</v>
      </c>
      <c r="P237" s="15" cm="1">
        <f t="array" ref="P237">InputFunctions_Dairy.CalculateFractionInMMSAfterSolidSeparation(INDEX(X_Table_Dairy_ProductionSystems_Method2, 4, 2),INDEX(X_Table_Dairy_Stage1MMS_2_DrainsToPaddock,2,2),X_Cell_Dairy_Stage1MMS_2_DrainsToPaddock_AmountSeparated_Method2)</f>
        <v>7.1199999999999999E-2</v>
      </c>
      <c r="Q237" s="15" cm="1">
        <f t="array" ref="Q237">InputFunctions_Dairy.CalculateFractionInMMSAfterSolidSeparation(INDEX(X_Table_Dairy_ProductionSystems_Method2, 4, 3),INDEX(X_Table_Dairy_Stage1MMS_2_DrainsToPaddock,2,3),X_Cell_Dairy_Stage1MMS_2_DrainsToPaddock_AmountSeparated_Method2)</f>
        <v>7.1199999999999999E-2</v>
      </c>
      <c r="R237" s="15" cm="1">
        <f t="array" ref="R237">InputFunctions_Dairy.CalculateFractionInMMSAfterSolidSeparation(INDEX(X_Table_Dairy_ProductionSystems_Method2, 4, 4),INDEX(X_Table_Dairy_Stage1MMS_2_DrainsToPaddock,2,4),X_Cell_Dairy_Stage1MMS_2_DrainsToPaddock_AmountSeparated_Method2)</f>
        <v>7.1199999999999999E-2</v>
      </c>
      <c r="S237" s="15" cm="1">
        <f t="array" ref="S237">InputFunctions_Dairy.CalculateFractionInMMSAfterSolidSeparation(INDEX(X_Table_Dairy_ProductionSystems_Method2, 4, 5),INDEX(X_Table_Dairy_Stage1MMS_2_DrainsToPaddock,2,5),X_Cell_Dairy_Stage1MMS_2_DrainsToPaddock_AmountSeparated_Method2)</f>
        <v>7.1199999999999999E-2</v>
      </c>
      <c r="T237" s="1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15" t="str">
        <f>INDEX(X_Table_Dairy_ProductionSystems_Method1,4,1)</f>
        <v>Feed pad</v>
      </c>
      <c r="E238" s="15" t="s">
        <v>75</v>
      </c>
      <c r="F238" s="1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1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1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1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1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15" t="str">
        <f>INDEX(X_Table_Dairy_ProductionSystems_Method1,4,1)</f>
        <v>Feed pad</v>
      </c>
      <c r="O238" s="15" t="str">
        <f>INDEX(X_Table_Dairy_Stage1MMS_2_SolidStorage,2,1)</f>
        <v>Solid storage (before solid separation)</v>
      </c>
      <c r="P238" s="1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1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1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1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1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6"/>
    </row>
    <row r="240" spans="4:20" ht="20.100000000000001" customHeight="1" x14ac:dyDescent="0.25">
      <c r="D240" s="121" t="s">
        <v>481</v>
      </c>
      <c r="N240" s="121" t="s">
        <v>482</v>
      </c>
    </row>
    <row r="241" spans="1:21" ht="20.100000000000001" customHeight="1" x14ac:dyDescent="0.25">
      <c r="D241" s="122" t="s">
        <v>483</v>
      </c>
      <c r="N241" s="122" t="s">
        <v>484</v>
      </c>
    </row>
    <row r="242" spans="1:21" ht="20.100000000000001" customHeight="1" x14ac:dyDescent="0.25">
      <c r="D242" s="123" t="s">
        <v>161</v>
      </c>
      <c r="E242" s="123" t="s">
        <v>388</v>
      </c>
      <c r="F242" s="123" t="s">
        <v>295</v>
      </c>
      <c r="G242" s="123" t="s">
        <v>296</v>
      </c>
      <c r="H242" s="123" t="s">
        <v>297</v>
      </c>
      <c r="I242" s="123" t="s">
        <v>298</v>
      </c>
      <c r="J242" s="123" t="s">
        <v>299</v>
      </c>
      <c r="N242" s="123" t="s">
        <v>161</v>
      </c>
      <c r="O242" s="123" t="s">
        <v>388</v>
      </c>
      <c r="P242" s="123" t="s">
        <v>295</v>
      </c>
      <c r="Q242" s="123" t="s">
        <v>296</v>
      </c>
      <c r="R242" s="123" t="s">
        <v>297</v>
      </c>
      <c r="S242" s="123" t="s">
        <v>298</v>
      </c>
      <c r="T242" s="123" t="s">
        <v>299</v>
      </c>
    </row>
    <row r="243" spans="1:21" ht="20.100000000000001" customHeight="1" x14ac:dyDescent="0.25">
      <c r="D243" s="15" t="str">
        <f>INDEX(X_Table_Dairy_ProductionSystems_Method1,3,1)</f>
        <v>Milking shed</v>
      </c>
      <c r="E243" s="15" t="str">
        <f>INDEX(X_Table_Dairy_Stage1MMS_1_AnaerobicLagoon,2,1)</f>
        <v>Anaerobic lagoon</v>
      </c>
      <c r="F243" s="15" cm="1">
        <f t="array" ref="F243">MMS_Dairy_N2ODirect_Equations.VEERG_4_3_1_3__2_TotalNitrogenInEachMMS(D$176,F231)</f>
        <v>399.24605684746678</v>
      </c>
      <c r="G243" s="15" cm="1">
        <f t="array" ref="G243">MMS_Dairy_N2ODirect_Equations.VEERG_4_3_1_3__2_TotalNitrogenInEachMMS(E$176,G231)</f>
        <v>182.35790267782079</v>
      </c>
      <c r="H243" s="15" cm="1">
        <f t="array" ref="H243">MMS_Dairy_N2ODirect_Equations.VEERG_4_3_1_3__2_TotalNitrogenInEachMMS(F$213,H231)</f>
        <v>72.631224123843424</v>
      </c>
      <c r="I243" s="15" cm="1">
        <f t="array" ref="I243">MMS_Dairy_N2ODirect_Equations.VEERG_4_3_1_3__2_TotalNitrogenInEachMMS(G$176,I231)</f>
        <v>229.23109573986844</v>
      </c>
      <c r="J243" s="15" cm="1">
        <f t="array" ref="J243">MMS_Dairy_N2ODirect_Equations.VEERG_4_3_1_3__2_TotalNitrogenInEachMMS(H$213,J231)</f>
        <v>95.962857079055411</v>
      </c>
      <c r="N243" s="15" t="str">
        <f>INDEX(X_Table_Dairy_ProductionSystems_Method1,3,1)</f>
        <v>Milking shed</v>
      </c>
      <c r="O243" s="15" t="str">
        <f>INDEX(X_Table_Dairy_Stage1MMS_1_AnaerobicLagoon,2,1)</f>
        <v>Anaerobic lagoon</v>
      </c>
      <c r="P243" s="15" cm="1">
        <f t="array" ref="P243">MMS_Dairy_N2ODirect_Equations.VEERG_4_3_1_3__2_TotalNitrogenInEachMMS(N$176,P231)</f>
        <v>399.24605684746678</v>
      </c>
      <c r="Q243" s="15" cm="1">
        <f t="array" ref="Q243">MMS_Dairy_N2ODirect_Equations.VEERG_4_3_1_3__2_TotalNitrogenInEachMMS(O$176,Q231)</f>
        <v>182.35790267782079</v>
      </c>
      <c r="R243" s="15" cm="1">
        <f t="array" ref="R243">MMS_Dairy_N2ODirect_Equations.VEERG_4_3_1_3__2_TotalNitrogenInEachMMS(P$213,R231)</f>
        <v>72.631224123843424</v>
      </c>
      <c r="S243" s="15" cm="1">
        <f t="array" ref="S243">MMS_Dairy_N2ODirect_Equations.VEERG_4_3_1_3__2_TotalNitrogenInEachMMS(Q$176,S231)</f>
        <v>229.23109573986844</v>
      </c>
      <c r="T243" s="15" cm="1">
        <f t="array" ref="T243">MMS_Dairy_N2ODirect_Equations.VEERG_4_3_1_3__2_TotalNitrogenInEachMMS(R$213,T231)</f>
        <v>95.962857079055411</v>
      </c>
    </row>
    <row r="244" spans="1:21" ht="20.100000000000001" customHeight="1" x14ac:dyDescent="0.25">
      <c r="D244" s="15" t="str">
        <f>INDEX(X_Table_Dairy_ProductionSystems_Method1,3,1)</f>
        <v>Milking shed</v>
      </c>
      <c r="E244" s="15" t="str">
        <f>INDEX(X_Table_Dairy_Stage1MMS_1_SumpAndDispersal,2,1)</f>
        <v>Sump and dispersal system</v>
      </c>
      <c r="F244" s="15" cm="1">
        <f t="array" ref="F244">MMS_Dairy_N2ODirect_Equations.VEERG_4_3_1_3__2_TotalNitrogenInEachMMS(D$176,F232)</f>
        <v>399.24605684746678</v>
      </c>
      <c r="G244" s="15" cm="1">
        <f t="array" ref="G244">MMS_Dairy_N2ODirect_Equations.VEERG_4_3_1_3__2_TotalNitrogenInEachMMS(E$176,G232)</f>
        <v>182.35790267782079</v>
      </c>
      <c r="H244" s="15" cm="1">
        <f t="array" ref="H244">MMS_Dairy_N2ODirect_Equations.VEERG_4_3_1_3__2_TotalNitrogenInEachMMS(F$213,H232)</f>
        <v>72.631224123843424</v>
      </c>
      <c r="I244" s="15" cm="1">
        <f t="array" ref="I244">MMS_Dairy_N2ODirect_Equations.VEERG_4_3_1_3__2_TotalNitrogenInEachMMS(G$176,I232)</f>
        <v>229.23109573986844</v>
      </c>
      <c r="J244" s="15" cm="1">
        <f t="array" ref="J244">MMS_Dairy_N2ODirect_Equations.VEERG_4_3_1_3__2_TotalNitrogenInEachMMS(H$213,J232)</f>
        <v>95.962857079055411</v>
      </c>
      <c r="N244" s="15" t="str">
        <f>INDEX(X_Table_Dairy_ProductionSystems_Method1,3,1)</f>
        <v>Milking shed</v>
      </c>
      <c r="O244" s="15" t="str">
        <f>INDEX(X_Table_Dairy_Stage1MMS_1_SumpAndDispersal,2,1)</f>
        <v>Sump and dispersal system</v>
      </c>
      <c r="P244" s="15" cm="1">
        <f t="array" ref="P244">MMS_Dairy_N2ODirect_Equations.VEERG_4_3_1_3__2_TotalNitrogenInEachMMS(N$176,P232)</f>
        <v>399.24605684746678</v>
      </c>
      <c r="Q244" s="15" cm="1">
        <f t="array" ref="Q244">MMS_Dairy_N2ODirect_Equations.VEERG_4_3_1_3__2_TotalNitrogenInEachMMS(O$176,Q232)</f>
        <v>182.35790267782079</v>
      </c>
      <c r="R244" s="15" cm="1">
        <f t="array" ref="R244">MMS_Dairy_N2ODirect_Equations.VEERG_4_3_1_3__2_TotalNitrogenInEachMMS(P$213,R232)</f>
        <v>72.631224123843424</v>
      </c>
      <c r="S244" s="15" cm="1">
        <f t="array" ref="S244">MMS_Dairy_N2ODirect_Equations.VEERG_4_3_1_3__2_TotalNitrogenInEachMMS(Q$176,S232)</f>
        <v>229.23109573986844</v>
      </c>
      <c r="T244" s="15" cm="1">
        <f t="array" ref="T244">MMS_Dairy_N2ODirect_Equations.VEERG_4_3_1_3__2_TotalNitrogenInEachMMS(R$213,T232)</f>
        <v>95.962857079055411</v>
      </c>
    </row>
    <row r="245" spans="1:21" ht="20.100000000000001" customHeight="1" x14ac:dyDescent="0.25">
      <c r="A245" s="128" t="str">
        <f>HYPERLINK("#A1", "▲ Back to top")</f>
        <v>▲ Back to top</v>
      </c>
      <c r="D245" s="15" t="str">
        <f>INDEX(X_Table_Dairy_ProductionSystems_Method1,3,1)</f>
        <v>Milking shed</v>
      </c>
      <c r="E245" s="15" t="str">
        <f>INDEX(X_Table_Dairy_Stage1MMS_1_DrainsToPaddock,2,1)</f>
        <v>Drains to paddock</v>
      </c>
      <c r="F245" s="15" cm="1">
        <f t="array" ref="F245">MMS_Dairy_N2ODirect_Equations.VEERG_4_3_1_3__2_TotalNitrogenInEachMMS(D$176,F233)</f>
        <v>399.24605684746678</v>
      </c>
      <c r="G245" s="15" cm="1">
        <f t="array" ref="G245">MMS_Dairy_N2ODirect_Equations.VEERG_4_3_1_3__2_TotalNitrogenInEachMMS(E$176,G233)</f>
        <v>182.35790267782079</v>
      </c>
      <c r="H245" s="15" cm="1">
        <f t="array" ref="H245">MMS_Dairy_N2ODirect_Equations.VEERG_4_3_1_3__2_TotalNitrogenInEachMMS(F$213,H233)</f>
        <v>72.631224123843424</v>
      </c>
      <c r="I245" s="15" cm="1">
        <f t="array" ref="I245">MMS_Dairy_N2ODirect_Equations.VEERG_4_3_1_3__2_TotalNitrogenInEachMMS(G$176,I233)</f>
        <v>229.23109573986844</v>
      </c>
      <c r="J245" s="15" cm="1">
        <f t="array" ref="J245">MMS_Dairy_N2ODirect_Equations.VEERG_4_3_1_3__2_TotalNitrogenInEachMMS(H$213,J233)</f>
        <v>95.962857079055411</v>
      </c>
      <c r="N245" s="15" t="str">
        <f>INDEX(X_Table_Dairy_ProductionSystems_Method1,3,1)</f>
        <v>Milking shed</v>
      </c>
      <c r="O245" s="15" t="str">
        <f>INDEX(X_Table_Dairy_Stage1MMS_1_DrainsToPaddock,2,1)</f>
        <v>Drains to paddock</v>
      </c>
      <c r="P245" s="15" cm="1">
        <f t="array" ref="P245">MMS_Dairy_N2ODirect_Equations.VEERG_4_3_1_3__2_TotalNitrogenInEachMMS(N$176,P233)</f>
        <v>399.24605684746678</v>
      </c>
      <c r="Q245" s="15" cm="1">
        <f t="array" ref="Q245">MMS_Dairy_N2ODirect_Equations.VEERG_4_3_1_3__2_TotalNitrogenInEachMMS(O$176,Q233)</f>
        <v>182.35790267782079</v>
      </c>
      <c r="R245" s="15" cm="1">
        <f t="array" ref="R245">MMS_Dairy_N2ODirect_Equations.VEERG_4_3_1_3__2_TotalNitrogenInEachMMS(P$213,R233)</f>
        <v>72.631224123843424</v>
      </c>
      <c r="S245" s="15" cm="1">
        <f t="array" ref="S245">MMS_Dairy_N2ODirect_Equations.VEERG_4_3_1_3__2_TotalNitrogenInEachMMS(Q$176,S233)</f>
        <v>229.23109573986844</v>
      </c>
      <c r="T245" s="15" cm="1">
        <f t="array" ref="T245">MMS_Dairy_N2ODirect_Equations.VEERG_4_3_1_3__2_TotalNitrogenInEachMMS(R$213,T233)</f>
        <v>95.962857079055411</v>
      </c>
    </row>
    <row r="246" spans="1:21" ht="20.100000000000001" customHeight="1" x14ac:dyDescent="0.25">
      <c r="D246" s="15" t="str">
        <f>INDEX(X_Table_Dairy_ProductionSystems_Method1,3,1)</f>
        <v>Milking shed</v>
      </c>
      <c r="E246" s="15" t="s">
        <v>75</v>
      </c>
      <c r="F246" s="15" cm="1">
        <f t="array" ref="F246">MMS_Dairy_N2ODirect_Equations.VEERG_4_3_1_3__2_TotalNitrogenInEachMMS(D$176,F234)</f>
        <v>798.49211369493332</v>
      </c>
      <c r="G246" s="15" cm="1">
        <f t="array" ref="G246">MMS_Dairy_N2ODirect_Equations.VEERG_4_3_1_3__2_TotalNitrogenInEachMMS(E$176,G234)</f>
        <v>364.71580535564152</v>
      </c>
      <c r="H246" s="15" cm="1">
        <f t="array" ref="H246">MMS_Dairy_N2ODirect_Equations.VEERG_4_3_1_3__2_TotalNitrogenInEachMMS(F$213,H234)</f>
        <v>145.26244824768682</v>
      </c>
      <c r="I246" s="15" cm="1">
        <f t="array" ref="I246">MMS_Dairy_N2ODirect_Equations.VEERG_4_3_1_3__2_TotalNitrogenInEachMMS(G$176,I234)</f>
        <v>458.46219147973682</v>
      </c>
      <c r="J246" s="15" cm="1">
        <f t="array" ref="J246">MMS_Dairy_N2ODirect_Equations.VEERG_4_3_1_3__2_TotalNitrogenInEachMMS(H$213,J234)</f>
        <v>191.92571415811079</v>
      </c>
      <c r="N246" s="15" t="str">
        <f>INDEX(X_Table_Dairy_ProductionSystems_Method1,3,1)</f>
        <v>Milking shed</v>
      </c>
      <c r="O246" s="15" t="s">
        <v>75</v>
      </c>
      <c r="P246" s="15" cm="1">
        <f t="array" ref="P246">MMS_Dairy_N2ODirect_Equations.VEERG_4_3_1_3__2_TotalNitrogenInEachMMS(N$176,P234)</f>
        <v>798.49211369493332</v>
      </c>
      <c r="Q246" s="15" cm="1">
        <f t="array" ref="Q246">MMS_Dairy_N2ODirect_Equations.VEERG_4_3_1_3__2_TotalNitrogenInEachMMS(O$176,Q234)</f>
        <v>364.71580535564152</v>
      </c>
      <c r="R246" s="15" cm="1">
        <f t="array" ref="R246">MMS_Dairy_N2ODirect_Equations.VEERG_4_3_1_3__2_TotalNitrogenInEachMMS(P$213,R234)</f>
        <v>145.26244824768682</v>
      </c>
      <c r="S246" s="15" cm="1">
        <f t="array" ref="S246">MMS_Dairy_N2ODirect_Equations.VEERG_4_3_1_3__2_TotalNitrogenInEachMMS(Q$176,S234)</f>
        <v>458.46219147973682</v>
      </c>
      <c r="T246" s="15" cm="1">
        <f t="array" ref="T246">MMS_Dairy_N2ODirect_Equations.VEERG_4_3_1_3__2_TotalNitrogenInEachMMS(R$213,T234)</f>
        <v>191.92571415811079</v>
      </c>
    </row>
    <row r="247" spans="1:21" ht="20.100000000000001" customHeight="1" x14ac:dyDescent="0.25">
      <c r="D247" s="15" t="str">
        <f>INDEX(X_Table_Dairy_ProductionSystems_Method1,4,1)</f>
        <v>Feed pad</v>
      </c>
      <c r="E247" s="15" t="str">
        <f>INDEX(X_Table_Dairy_Stage1MMS_2_AnaerobicLagoon,2,1)</f>
        <v>Anaerobic lagoon</v>
      </c>
      <c r="F247" s="15" cm="1">
        <f t="array" ref="F247">MMS_Dairy_N2ODirect_Equations.VEERG_4_3_1_3__2_TotalNitrogenInEachMMS(D$176,F235)</f>
        <v>1615.131775428388</v>
      </c>
      <c r="G247" s="15" cm="1">
        <f t="array" ref="G247">MMS_Dairy_N2ODirect_Equations.VEERG_4_3_1_3__2_TotalNitrogenInEachMMS(E$176,G235)</f>
        <v>737.72060628754764</v>
      </c>
      <c r="H247" s="15" cm="1">
        <f t="array" ref="H247">MMS_Dairy_N2ODirect_Equations.VEERG_4_3_1_3__2_TotalNitrogenInEachMMS(F$213,H235)</f>
        <v>293.82631577373019</v>
      </c>
      <c r="I247" s="15" cm="1">
        <f t="array" ref="I247">MMS_Dairy_N2ODirect_Equations.VEERG_4_3_1_3__2_TotalNitrogenInEachMMS(G$176,I235)</f>
        <v>927.34397822037681</v>
      </c>
      <c r="J247" s="15" cm="1">
        <f t="array" ref="J247">MMS_Dairy_N2ODirect_Equations.VEERG_4_3_1_3__2_TotalNitrogenInEachMMS(H$213,J235)</f>
        <v>388.21337636526954</v>
      </c>
      <c r="N247" s="15" t="str">
        <f>INDEX(X_Table_Dairy_ProductionSystems_Method1,4,1)</f>
        <v>Feed pad</v>
      </c>
      <c r="O247" s="15" t="str">
        <f>INDEX(X_Table_Dairy_Stage1MMS_2_AnaerobicLagoon,2,1)</f>
        <v>Anaerobic lagoon</v>
      </c>
      <c r="P247" s="15" cm="1">
        <f t="array" ref="P247">MMS_Dairy_N2ODirect_Equations.VEERG_4_3_1_3__2_TotalNitrogenInEachMMS(N$176,P235)</f>
        <v>1615.131775428388</v>
      </c>
      <c r="Q247" s="15" cm="1">
        <f t="array" ref="Q247">MMS_Dairy_N2ODirect_Equations.VEERG_4_3_1_3__2_TotalNitrogenInEachMMS(O$176,Q235)</f>
        <v>737.72060628754764</v>
      </c>
      <c r="R247" s="15" cm="1">
        <f t="array" ref="R247">MMS_Dairy_N2ODirect_Equations.VEERG_4_3_1_3__2_TotalNitrogenInEachMMS(P$213,R235)</f>
        <v>293.82631577373019</v>
      </c>
      <c r="S247" s="15" cm="1">
        <f t="array" ref="S247">MMS_Dairy_N2ODirect_Equations.VEERG_4_3_1_3__2_TotalNitrogenInEachMMS(Q$176,S235)</f>
        <v>927.34397822037681</v>
      </c>
      <c r="T247" s="15" cm="1">
        <f t="array" ref="T247">MMS_Dairy_N2ODirect_Equations.VEERG_4_3_1_3__2_TotalNitrogenInEachMMS(R$213,T235)</f>
        <v>388.21337636526954</v>
      </c>
    </row>
    <row r="248" spans="1:21" ht="20.100000000000001" customHeight="1" x14ac:dyDescent="0.25">
      <c r="D248" s="15" t="str">
        <f>INDEX(X_Table_Dairy_ProductionSystems_Method1,4,1)</f>
        <v>Feed pad</v>
      </c>
      <c r="E248" s="15" t="str">
        <f>INDEX(X_Table_Dairy_Stage1MMS_2_SumpAndDispersal,2,1)</f>
        <v>Sump and dispersal system</v>
      </c>
      <c r="F248" s="15" cm="1">
        <f t="array" ref="F248">MMS_Dairy_N2ODirect_Equations.VEERG_4_3_1_3__2_TotalNitrogenInEachMMS(D$176,F236)</f>
        <v>1292.1054203427104</v>
      </c>
      <c r="G248" s="15" cm="1">
        <f t="array" ref="G248">MMS_Dairy_N2ODirect_Equations.VEERG_4_3_1_3__2_TotalNitrogenInEachMMS(E$176,G236)</f>
        <v>590.17648503003818</v>
      </c>
      <c r="H248" s="15" cm="1">
        <f t="array" ref="H248">MMS_Dairy_N2ODirect_Equations.VEERG_4_3_1_3__2_TotalNitrogenInEachMMS(F$213,H236)</f>
        <v>235.06105261898415</v>
      </c>
      <c r="I248" s="15" cm="1">
        <f t="array" ref="I248">MMS_Dairy_N2ODirect_Equations.VEERG_4_3_1_3__2_TotalNitrogenInEachMMS(G$176,I236)</f>
        <v>741.87518257630143</v>
      </c>
      <c r="J248" s="15" cm="1">
        <f t="array" ref="J248">MMS_Dairy_N2ODirect_Equations.VEERG_4_3_1_3__2_TotalNitrogenInEachMMS(H$213,J236)</f>
        <v>310.57070109221564</v>
      </c>
      <c r="N248" s="15" t="str">
        <f>INDEX(X_Table_Dairy_ProductionSystems_Method1,4,1)</f>
        <v>Feed pad</v>
      </c>
      <c r="O248" s="15" t="str">
        <f>INDEX(X_Table_Dairy_Stage1MMS_2_SumpAndDispersal,2,1)</f>
        <v>Sump and dispersal system</v>
      </c>
      <c r="P248" s="15" cm="1">
        <f t="array" ref="P248">MMS_Dairy_N2ODirect_Equations.VEERG_4_3_1_3__2_TotalNitrogenInEachMMS(N$176,P236)</f>
        <v>1292.1054203427104</v>
      </c>
      <c r="Q248" s="15" cm="1">
        <f t="array" ref="Q248">MMS_Dairy_N2ODirect_Equations.VEERG_4_3_1_3__2_TotalNitrogenInEachMMS(O$176,Q236)</f>
        <v>590.17648503003818</v>
      </c>
      <c r="R248" s="15" cm="1">
        <f t="array" ref="R248">MMS_Dairy_N2ODirect_Equations.VEERG_4_3_1_3__2_TotalNitrogenInEachMMS(P$213,R236)</f>
        <v>235.06105261898415</v>
      </c>
      <c r="S248" s="15" cm="1">
        <f t="array" ref="S248">MMS_Dairy_N2ODirect_Equations.VEERG_4_3_1_3__2_TotalNitrogenInEachMMS(Q$176,S236)</f>
        <v>741.87518257630143</v>
      </c>
      <c r="T248" s="15" cm="1">
        <f t="array" ref="T248">MMS_Dairy_N2ODirect_Equations.VEERG_4_3_1_3__2_TotalNitrogenInEachMMS(R$213,T236)</f>
        <v>310.57070109221564</v>
      </c>
    </row>
    <row r="249" spans="1:21" ht="20.100000000000001" customHeight="1" x14ac:dyDescent="0.25">
      <c r="D249" s="15" t="str">
        <f>INDEX(X_Table_Dairy_ProductionSystems_Method1,4,1)</f>
        <v>Feed pad</v>
      </c>
      <c r="E249" s="15" t="str">
        <f>INDEX(X_Table_Dairy_Stage1MMS_2_DrainsToPaddock,2,1)</f>
        <v>Drains to paddock</v>
      </c>
      <c r="F249" s="15" cm="1">
        <f t="array" ref="F249">MMS_Dairy_N2ODirect_Equations.VEERG_4_3_1_3__2_TotalNitrogenInEachMMS(D$176,F237)</f>
        <v>1292.1054203427104</v>
      </c>
      <c r="G249" s="15" cm="1">
        <f t="array" ref="G249">MMS_Dairy_N2ODirect_Equations.VEERG_4_3_1_3__2_TotalNitrogenInEachMMS(E$176,G237)</f>
        <v>590.17648503003818</v>
      </c>
      <c r="H249" s="15" cm="1">
        <f t="array" ref="H249">MMS_Dairy_N2ODirect_Equations.VEERG_4_3_1_3__2_TotalNitrogenInEachMMS(F$213,H237)</f>
        <v>235.06105261898415</v>
      </c>
      <c r="I249" s="15" cm="1">
        <f t="array" ref="I249">MMS_Dairy_N2ODirect_Equations.VEERG_4_3_1_3__2_TotalNitrogenInEachMMS(G$176,I237)</f>
        <v>741.87518257630143</v>
      </c>
      <c r="J249" s="15" cm="1">
        <f t="array" ref="J249">MMS_Dairy_N2ODirect_Equations.VEERG_4_3_1_3__2_TotalNitrogenInEachMMS(H$213,J237)</f>
        <v>310.57070109221564</v>
      </c>
      <c r="N249" s="15" t="str">
        <f>INDEX(X_Table_Dairy_ProductionSystems_Method1,4,1)</f>
        <v>Feed pad</v>
      </c>
      <c r="O249" s="15" t="str">
        <f>INDEX(X_Table_Dairy_Stage1MMS_2_DrainsToPaddock,2,1)</f>
        <v>Drains to paddock</v>
      </c>
      <c r="P249" s="15" cm="1">
        <f t="array" ref="P249">MMS_Dairy_N2ODirect_Equations.VEERG_4_3_1_3__2_TotalNitrogenInEachMMS(N$176,P237)</f>
        <v>1292.1054203427104</v>
      </c>
      <c r="Q249" s="15" cm="1">
        <f t="array" ref="Q249">MMS_Dairy_N2ODirect_Equations.VEERG_4_3_1_3__2_TotalNitrogenInEachMMS(O$176,Q237)</f>
        <v>590.17648503003818</v>
      </c>
      <c r="R249" s="15" cm="1">
        <f t="array" ref="R249">MMS_Dairy_N2ODirect_Equations.VEERG_4_3_1_3__2_TotalNitrogenInEachMMS(P$213,R237)</f>
        <v>235.06105261898415</v>
      </c>
      <c r="S249" s="15" cm="1">
        <f t="array" ref="S249">MMS_Dairy_N2ODirect_Equations.VEERG_4_3_1_3__2_TotalNitrogenInEachMMS(Q$176,S237)</f>
        <v>741.87518257630143</v>
      </c>
      <c r="T249" s="15" cm="1">
        <f t="array" ref="T249">MMS_Dairy_N2ODirect_Equations.VEERG_4_3_1_3__2_TotalNitrogenInEachMMS(R$213,T237)</f>
        <v>310.57070109221564</v>
      </c>
    </row>
    <row r="250" spans="1:21" ht="20.100000000000001" customHeight="1" x14ac:dyDescent="0.25">
      <c r="D250" s="15" t="str">
        <f>INDEX(X_Table_Dairy_ProductionSystems_Method1,4,1)</f>
        <v>Feed pad</v>
      </c>
      <c r="E250" s="15" t="s">
        <v>75</v>
      </c>
      <c r="F250" s="15" cm="1">
        <f t="array" ref="F250">MMS_Dairy_N2ODirect_Equations.VEERG_4_3_1_3__2_TotalNitrogenInEachMMS(D$176,F238)</f>
        <v>2261.1844855997429</v>
      </c>
      <c r="G250" s="15" cm="1">
        <f t="array" ref="G250">MMS_Dairy_N2ODirect_Equations.VEERG_4_3_1_3__2_TotalNitrogenInEachMMS(E$176,G238)</f>
        <v>1032.8088488025667</v>
      </c>
      <c r="H250" s="15" cm="1">
        <f t="array" ref="H250">MMS_Dairy_N2ODirect_Equations.VEERG_4_3_1_3__2_TotalNitrogenInEachMMS(F$213,H238)</f>
        <v>411.35684208322226</v>
      </c>
      <c r="I250" s="15" cm="1">
        <f t="array" ref="I250">MMS_Dairy_N2ODirect_Equations.VEERG_4_3_1_3__2_TotalNitrogenInEachMMS(G$176,I238)</f>
        <v>1298.2815695085274</v>
      </c>
      <c r="J250" s="15" cm="1">
        <f t="array" ref="J250">MMS_Dairy_N2ODirect_Equations.VEERG_4_3_1_3__2_TotalNitrogenInEachMMS(H$213,J238)</f>
        <v>543.49872691137739</v>
      </c>
      <c r="N250" s="15" t="str">
        <f>INDEX(X_Table_Dairy_ProductionSystems_Method1,4,1)</f>
        <v>Feed pad</v>
      </c>
      <c r="O250" s="15" t="s">
        <v>75</v>
      </c>
      <c r="P250" s="15" cm="1">
        <f t="array" ref="P250">MMS_Dairy_N2ODirect_Equations.VEERG_4_3_1_3__2_TotalNitrogenInEachMMS(N$176,P238)</f>
        <v>2261.1844855997429</v>
      </c>
      <c r="Q250" s="15" cm="1">
        <f t="array" ref="Q250">MMS_Dairy_N2ODirect_Equations.VEERG_4_3_1_3__2_TotalNitrogenInEachMMS(O$176,Q238)</f>
        <v>1032.8088488025667</v>
      </c>
      <c r="R250" s="15" cm="1">
        <f t="array" ref="R250">MMS_Dairy_N2ODirect_Equations.VEERG_4_3_1_3__2_TotalNitrogenInEachMMS(P$213,R238)</f>
        <v>411.35684208322226</v>
      </c>
      <c r="S250" s="15" cm="1">
        <f t="array" ref="S250">MMS_Dairy_N2ODirect_Equations.VEERG_4_3_1_3__2_TotalNitrogenInEachMMS(Q$176,S238)</f>
        <v>1298.2815695085274</v>
      </c>
      <c r="T250" s="1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89"/>
      <c r="D253" s="89"/>
      <c r="E253" s="89"/>
      <c r="F253" s="89"/>
      <c r="G253" s="89"/>
      <c r="H253" s="89"/>
      <c r="I253" s="89"/>
      <c r="J253" s="89"/>
      <c r="K253" s="89"/>
      <c r="M253" s="89"/>
      <c r="N253" s="89"/>
      <c r="O253" s="89"/>
      <c r="P253" s="89"/>
      <c r="Q253" s="89"/>
      <c r="R253" s="89"/>
      <c r="S253" s="89"/>
      <c r="T253" s="89"/>
      <c r="U253" s="89"/>
    </row>
    <row r="254" spans="1:21" ht="20.100000000000001" customHeight="1" x14ac:dyDescent="0.25">
      <c r="D254" s="2"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17" t="str" cm="1">
        <f t="array" ref="D255">MMS_Dairy_N2ODirect_Equations.VEERG_4_3_1_3__1_TotalAnnualDirectNitrousOxideEmissionsFromMMS_Source()</f>
        <v>VEERG 2026: 4.3.1.3, Equation (1)</v>
      </c>
    </row>
    <row r="256" spans="1:21" ht="20.100000000000001" customHeight="1" x14ac:dyDescent="0.25">
      <c r="D256" s="117" t="s">
        <v>343</v>
      </c>
      <c r="E256" s="117"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2"/>
    </row>
    <row r="259" spans="4:9" ht="20.100000000000001" customHeight="1" x14ac:dyDescent="0.25">
      <c r="D259" s="76" t="s">
        <v>344</v>
      </c>
      <c r="E259" s="1" t="str" cm="1">
        <f t="array" ref="E259">MMS_Dairy_N2ODirect_Equations.VEERG_4_3_1_3__1_TotalAnnualDirectNitrousOxideEmissionsFromMMS_Variable()</f>
        <v>E_N2Odir</v>
      </c>
    </row>
    <row r="260" spans="4:9" ht="20.100000000000001" customHeight="1" x14ac:dyDescent="0.25">
      <c r="D260" s="76" t="s">
        <v>118</v>
      </c>
      <c r="E260" s="9"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19" t="str" cm="1">
        <f t="array" ref="D262:E264">_xlfn.CHOOSECOLS(MMS_Dairy_N2ODirect_Equations.VEERG_4_3_1_3__1_TotalAnnualDirectNitrousOxideEmissionsFromMMS_Arguments(),1,2)</f>
        <v>MN_jm</v>
      </c>
      <c r="E262" s="119" t="str">
        <v>total nitrogen in each MMS for dairy cattle classes</v>
      </c>
      <c r="F262" s="119"/>
      <c r="G262" s="119" t="str" cm="1">
        <f t="array" ref="G262:H264">_xlfn.CHOOSECOLS(MMS_Dairy_N2ODirect_Equations.VEERG_4_3_1_3__1_TotalAnnualDirectNitrousOxideEmissionsFromMMS_Arguments(),3,4)</f>
        <v>kg N</v>
      </c>
      <c r="H262" s="127" t="str">
        <v>Calculated from 4.3.1.3 (2)</v>
      </c>
      <c r="I262" s="126" t="str" cm="1">
        <f t="array" aca="1" ref="I262" ca="1">HYPERLINK(Common_InputFunctions.Utility_SourceHyperlink($D$240),$D$240)</f>
        <v>M1_Table_MN_j_m</v>
      </c>
    </row>
    <row r="263" spans="4:9" ht="20.100000000000001" customHeight="1" x14ac:dyDescent="0.25">
      <c r="D263" s="119" t="str">
        <v>EF_m</v>
      </c>
      <c r="E263" s="119" t="str">
        <v>nitrous oxide emission factor for each MMS (kg N2O-N/kg N deposited)</v>
      </c>
      <c r="F263" s="119"/>
      <c r="G263" s="119" t="str">
        <v>kg N2O-N/kg N</v>
      </c>
      <c r="H263" s="127" t="str">
        <v>Constant</v>
      </c>
      <c r="I263" s="126" t="str" cm="1">
        <f t="array" aca="1" ref="I263" ca="1">HYPERLINK(Common_InputFunctions.Utility_SourceHyperlink($D$266),$D$266)</f>
        <v>Table_EF_m</v>
      </c>
    </row>
    <row r="264" spans="4:9" ht="20.100000000000001" customHeight="1" x14ac:dyDescent="0.25">
      <c r="D264" s="119" t="str">
        <v>C_N2O</v>
      </c>
      <c r="E264" s="119" t="str">
        <v>factor to convert elemental mass of N2O to molecular mass</v>
      </c>
      <c r="F264" s="119"/>
      <c r="G264" s="119" t="str">
        <v>fraction</v>
      </c>
      <c r="H264" s="127" t="str">
        <v>Constant</v>
      </c>
      <c r="I264" s="119">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21" t="s">
        <v>485</v>
      </c>
    </row>
    <row r="267" spans="4:9" ht="20.100000000000001" customHeight="1" x14ac:dyDescent="0.25">
      <c r="D267" s="122" t="s">
        <v>486</v>
      </c>
    </row>
    <row r="268" spans="4:9" ht="20.100000000000001" customHeight="1" x14ac:dyDescent="0.25">
      <c r="D268" s="123" t="s">
        <v>388</v>
      </c>
      <c r="E268" s="123" t="s">
        <v>487</v>
      </c>
    </row>
    <row r="269" spans="4:9" ht="20.100000000000001" customHeight="1" x14ac:dyDescent="0.25">
      <c r="D269" s="15" t="str" cm="1">
        <f t="array" ref="D269:D273">Table_SourceData_Dairy_EFmFracGASM[NIR reference]</f>
        <v>Pasture range and paddock</v>
      </c>
      <c r="E269" s="15" cm="1">
        <f t="array" ref="E269:E273">Table_SourceData_Dairy_EFmFracGASM[EFm]</f>
        <v>0</v>
      </c>
    </row>
    <row r="270" spans="4:9" ht="20.100000000000001" customHeight="1" x14ac:dyDescent="0.25">
      <c r="D270" s="15" t="str">
        <v>Anaerobic lagoon</v>
      </c>
      <c r="E270" s="15">
        <v>0</v>
      </c>
    </row>
    <row r="271" spans="4:9" ht="20.100000000000001" customHeight="1" x14ac:dyDescent="0.25">
      <c r="D271" s="15" t="str">
        <v>Sump and dispersal system</v>
      </c>
      <c r="E271" s="15">
        <v>0</v>
      </c>
    </row>
    <row r="272" spans="4:9" ht="20.100000000000001" customHeight="1" x14ac:dyDescent="0.25">
      <c r="D272" s="15" t="str">
        <v>Drains to paddock</v>
      </c>
      <c r="E272" s="15">
        <v>0</v>
      </c>
    </row>
    <row r="273" spans="1:20" ht="20.100000000000001" customHeight="1" x14ac:dyDescent="0.25">
      <c r="D273" s="15" t="str">
        <v>Solid storage</v>
      </c>
      <c r="E273" s="15">
        <v>5.0000000000000001E-3</v>
      </c>
    </row>
    <row r="274" spans="1:20" ht="20.100000000000001" customHeight="1" x14ac:dyDescent="0.25"/>
    <row r="275" spans="1:20" ht="20.100000000000001" customHeight="1" x14ac:dyDescent="0.25">
      <c r="D275" s="121" t="s">
        <v>488</v>
      </c>
      <c r="N275" s="121" t="s">
        <v>489</v>
      </c>
    </row>
    <row r="276" spans="1:20" ht="20.100000000000001" customHeight="1" x14ac:dyDescent="0.25">
      <c r="D276" s="122" t="s">
        <v>490</v>
      </c>
      <c r="N276" s="122" t="s">
        <v>491</v>
      </c>
    </row>
    <row r="277" spans="1:20" ht="20.100000000000001" customHeight="1" x14ac:dyDescent="0.25">
      <c r="D277" s="123" t="s">
        <v>161</v>
      </c>
      <c r="E277" s="123" t="s">
        <v>388</v>
      </c>
      <c r="F277" s="123" t="s">
        <v>295</v>
      </c>
      <c r="G277" s="123" t="s">
        <v>296</v>
      </c>
      <c r="H277" s="123" t="s">
        <v>297</v>
      </c>
      <c r="I277" s="123" t="s">
        <v>298</v>
      </c>
      <c r="J277" s="123" t="s">
        <v>299</v>
      </c>
      <c r="N277" s="123" t="s">
        <v>161</v>
      </c>
      <c r="O277" s="123" t="s">
        <v>388</v>
      </c>
      <c r="P277" s="123" t="s">
        <v>295</v>
      </c>
      <c r="Q277" s="123" t="s">
        <v>296</v>
      </c>
      <c r="R277" s="123" t="s">
        <v>297</v>
      </c>
      <c r="S277" s="123" t="s">
        <v>298</v>
      </c>
      <c r="T277" s="123" t="s">
        <v>299</v>
      </c>
    </row>
    <row r="278" spans="1:20" ht="20.100000000000001" customHeight="1" x14ac:dyDescent="0.25">
      <c r="D278" s="15" t="str">
        <f>INDEX(X_Table_Dairy_ProductionSystems_Method1,3,1)</f>
        <v>Milking shed</v>
      </c>
      <c r="E278" s="15" t="str">
        <f>INDEX(X_Table_Dairy_Stage1MMS_1_AnaerobicLagoon,2,1)</f>
        <v>Anaerobic lagoon</v>
      </c>
      <c r="F278" s="15" cm="1">
        <f t="array" ref="F278">MMS_Dairy_N2ODirect_Equations.VEERG_4_3_1_3__1_TotalAnnualDirectNitrousOxideEmissionsFromMMS(F243,$E270,$I$264)</f>
        <v>0</v>
      </c>
      <c r="G278" s="15" cm="1">
        <f t="array" ref="G278">MMS_Dairy_N2ODirect_Equations.VEERG_4_3_1_3__1_TotalAnnualDirectNitrousOxideEmissionsFromMMS(G243,$E270,$I$264)</f>
        <v>0</v>
      </c>
      <c r="H278" s="15" cm="1">
        <f t="array" ref="H278">MMS_Dairy_N2ODirect_Equations.VEERG_4_3_1_3__1_TotalAnnualDirectNitrousOxideEmissionsFromMMS(H243,$E270,$I$264)</f>
        <v>0</v>
      </c>
      <c r="I278" s="15" cm="1">
        <f t="array" ref="I278">MMS_Dairy_N2ODirect_Equations.VEERG_4_3_1_3__1_TotalAnnualDirectNitrousOxideEmissionsFromMMS(I243,$E270,$I$264)</f>
        <v>0</v>
      </c>
      <c r="J278" s="15" cm="1">
        <f t="array" ref="J278">MMS_Dairy_N2ODirect_Equations.VEERG_4_3_1_3__1_TotalAnnualDirectNitrousOxideEmissionsFromMMS(J243,$E270,$I$264)</f>
        <v>0</v>
      </c>
      <c r="N278" s="15" t="str">
        <f>INDEX(X_Table_Dairy_ProductionSystems_Method1,3,1)</f>
        <v>Milking shed</v>
      </c>
      <c r="O278" s="15" t="str">
        <f>INDEX(X_Table_Dairy_Stage1MMS_1_AnaerobicLagoon,2,1)</f>
        <v>Anaerobic lagoon</v>
      </c>
      <c r="P278" s="15" cm="1">
        <f t="array" ref="P278">MMS_Dairy_N2ODirect_Equations.VEERG_4_3_1_3__1_TotalAnnualDirectNitrousOxideEmissionsFromMMS(P243,$E270,$I$264)</f>
        <v>0</v>
      </c>
      <c r="Q278" s="15" cm="1">
        <f t="array" ref="Q278">MMS_Dairy_N2ODirect_Equations.VEERG_4_3_1_3__1_TotalAnnualDirectNitrousOxideEmissionsFromMMS(Q243,$E270,$I$264)</f>
        <v>0</v>
      </c>
      <c r="R278" s="15" cm="1">
        <f t="array" ref="R278">MMS_Dairy_N2ODirect_Equations.VEERG_4_3_1_3__1_TotalAnnualDirectNitrousOxideEmissionsFromMMS(R243,$E270,$I$264)</f>
        <v>0</v>
      </c>
      <c r="S278" s="15" cm="1">
        <f t="array" ref="S278">MMS_Dairy_N2ODirect_Equations.VEERG_4_3_1_3__1_TotalAnnualDirectNitrousOxideEmissionsFromMMS(S243,$E270,$I$264)</f>
        <v>0</v>
      </c>
      <c r="T278" s="15" cm="1">
        <f t="array" ref="T278">MMS_Dairy_N2ODirect_Equations.VEERG_4_3_1_3__1_TotalAnnualDirectNitrousOxideEmissionsFromMMS(T243,$E270,$I$264)</f>
        <v>0</v>
      </c>
    </row>
    <row r="279" spans="1:20" ht="20.100000000000001" customHeight="1" x14ac:dyDescent="0.25">
      <c r="D279" s="15" t="str">
        <f>INDEX(X_Table_Dairy_ProductionSystems_Method1,3,1)</f>
        <v>Milking shed</v>
      </c>
      <c r="E279" s="15" t="str">
        <f>INDEX(X_Table_Dairy_Stage1MMS_1_SumpAndDispersal,2,1)</f>
        <v>Sump and dispersal system</v>
      </c>
      <c r="F279" s="15" cm="1">
        <f t="array" ref="F279">MMS_Dairy_N2ODirect_Equations.VEERG_4_3_1_3__1_TotalAnnualDirectNitrousOxideEmissionsFromMMS(F244,$E271,$I$264)</f>
        <v>0</v>
      </c>
      <c r="G279" s="15" cm="1">
        <f t="array" ref="G279">MMS_Dairy_N2ODirect_Equations.VEERG_4_3_1_3__1_TotalAnnualDirectNitrousOxideEmissionsFromMMS(G244,$E271,$I$264)</f>
        <v>0</v>
      </c>
      <c r="H279" s="15" cm="1">
        <f t="array" ref="H279">MMS_Dairy_N2ODirect_Equations.VEERG_4_3_1_3__1_TotalAnnualDirectNitrousOxideEmissionsFromMMS(H244,$E271,$I$264)</f>
        <v>0</v>
      </c>
      <c r="I279" s="15" cm="1">
        <f t="array" ref="I279">MMS_Dairy_N2ODirect_Equations.VEERG_4_3_1_3__1_TotalAnnualDirectNitrousOxideEmissionsFromMMS(I244,$E271,$I$264)</f>
        <v>0</v>
      </c>
      <c r="J279" s="15" cm="1">
        <f t="array" ref="J279">MMS_Dairy_N2ODirect_Equations.VEERG_4_3_1_3__1_TotalAnnualDirectNitrousOxideEmissionsFromMMS(J244,$E271,$I$264)</f>
        <v>0</v>
      </c>
      <c r="N279" s="15" t="str">
        <f>INDEX(X_Table_Dairy_ProductionSystems_Method1,3,1)</f>
        <v>Milking shed</v>
      </c>
      <c r="O279" s="15" t="str">
        <f>INDEX(X_Table_Dairy_Stage1MMS_1_SumpAndDispersal,2,1)</f>
        <v>Sump and dispersal system</v>
      </c>
      <c r="P279" s="15" cm="1">
        <f t="array" ref="P279">MMS_Dairy_N2ODirect_Equations.VEERG_4_3_1_3__1_TotalAnnualDirectNitrousOxideEmissionsFromMMS(P244,$E271,$I$264)</f>
        <v>0</v>
      </c>
      <c r="Q279" s="15" cm="1">
        <f t="array" ref="Q279">MMS_Dairy_N2ODirect_Equations.VEERG_4_3_1_3__1_TotalAnnualDirectNitrousOxideEmissionsFromMMS(Q244,$E271,$I$264)</f>
        <v>0</v>
      </c>
      <c r="R279" s="15" cm="1">
        <f t="array" ref="R279">MMS_Dairy_N2ODirect_Equations.VEERG_4_3_1_3__1_TotalAnnualDirectNitrousOxideEmissionsFromMMS(R244,$E271,$I$264)</f>
        <v>0</v>
      </c>
      <c r="S279" s="15" cm="1">
        <f t="array" ref="S279">MMS_Dairy_N2ODirect_Equations.VEERG_4_3_1_3__1_TotalAnnualDirectNitrousOxideEmissionsFromMMS(S244,$E271,$I$264)</f>
        <v>0</v>
      </c>
      <c r="T279" s="15" cm="1">
        <f t="array" ref="T279">MMS_Dairy_N2ODirect_Equations.VEERG_4_3_1_3__1_TotalAnnualDirectNitrousOxideEmissionsFromMMS(T244,$E271,$I$264)</f>
        <v>0</v>
      </c>
    </row>
    <row r="280" spans="1:20" ht="20.100000000000001" customHeight="1" x14ac:dyDescent="0.25">
      <c r="D280" s="15" t="str">
        <f>INDEX(X_Table_Dairy_ProductionSystems_Method1,3,1)</f>
        <v>Milking shed</v>
      </c>
      <c r="E280" s="15" t="str">
        <f>INDEX(X_Table_Dairy_Stage1MMS_1_DrainsToPaddock,2,1)</f>
        <v>Drains to paddock</v>
      </c>
      <c r="F280" s="15" cm="1">
        <f t="array" ref="F280">MMS_Dairy_N2ODirect_Equations.VEERG_4_3_1_3__1_TotalAnnualDirectNitrousOxideEmissionsFromMMS(F245,$E272,$I$264)</f>
        <v>0</v>
      </c>
      <c r="G280" s="15" cm="1">
        <f t="array" ref="G280">MMS_Dairy_N2ODirect_Equations.VEERG_4_3_1_3__1_TotalAnnualDirectNitrousOxideEmissionsFromMMS(G245,$E272,$I$264)</f>
        <v>0</v>
      </c>
      <c r="H280" s="15" cm="1">
        <f t="array" ref="H280">MMS_Dairy_N2ODirect_Equations.VEERG_4_3_1_3__1_TotalAnnualDirectNitrousOxideEmissionsFromMMS(H245,$E272,$I$264)</f>
        <v>0</v>
      </c>
      <c r="I280" s="15" cm="1">
        <f t="array" ref="I280">MMS_Dairy_N2ODirect_Equations.VEERG_4_3_1_3__1_TotalAnnualDirectNitrousOxideEmissionsFromMMS(I245,$E272,$I$264)</f>
        <v>0</v>
      </c>
      <c r="J280" s="15" cm="1">
        <f t="array" ref="J280">MMS_Dairy_N2ODirect_Equations.VEERG_4_3_1_3__1_TotalAnnualDirectNitrousOxideEmissionsFromMMS(J245,$E272,$I$264)</f>
        <v>0</v>
      </c>
      <c r="N280" s="15" t="str">
        <f>INDEX(X_Table_Dairy_ProductionSystems_Method1,3,1)</f>
        <v>Milking shed</v>
      </c>
      <c r="O280" s="15" t="str">
        <f>INDEX(X_Table_Dairy_Stage1MMS_1_DrainsToPaddock,2,1)</f>
        <v>Drains to paddock</v>
      </c>
      <c r="P280" s="15" cm="1">
        <f t="array" ref="P280">MMS_Dairy_N2ODirect_Equations.VEERG_4_3_1_3__1_TotalAnnualDirectNitrousOxideEmissionsFromMMS(P245,$E272,$I$264)</f>
        <v>0</v>
      </c>
      <c r="Q280" s="15" cm="1">
        <f t="array" ref="Q280">MMS_Dairy_N2ODirect_Equations.VEERG_4_3_1_3__1_TotalAnnualDirectNitrousOxideEmissionsFromMMS(Q245,$E272,$I$264)</f>
        <v>0</v>
      </c>
      <c r="R280" s="15" cm="1">
        <f t="array" ref="R280">MMS_Dairy_N2ODirect_Equations.VEERG_4_3_1_3__1_TotalAnnualDirectNitrousOxideEmissionsFromMMS(R245,$E272,$I$264)</f>
        <v>0</v>
      </c>
      <c r="S280" s="15" cm="1">
        <f t="array" ref="S280">MMS_Dairy_N2ODirect_Equations.VEERG_4_3_1_3__1_TotalAnnualDirectNitrousOxideEmissionsFromMMS(S245,$E272,$I$264)</f>
        <v>0</v>
      </c>
      <c r="T280" s="15" cm="1">
        <f t="array" ref="T280">MMS_Dairy_N2ODirect_Equations.VEERG_4_3_1_3__1_TotalAnnualDirectNitrousOxideEmissionsFromMMS(T245,$E272,$I$264)</f>
        <v>0</v>
      </c>
    </row>
    <row r="281" spans="1:20" ht="20.100000000000001" customHeight="1" x14ac:dyDescent="0.25">
      <c r="D281" s="15" t="str">
        <f>INDEX(X_Table_Dairy_ProductionSystems_Method1,3,1)</f>
        <v>Milking shed</v>
      </c>
      <c r="E281" s="15" t="s">
        <v>75</v>
      </c>
      <c r="F281" s="15" cm="1">
        <f t="array" ref="F281">MMS_Dairy_N2ODirect_Equations.VEERG_4_3_1_3__1_TotalAnnualDirectNitrousOxideEmissionsFromMMS(F246,$E273,$I$264)</f>
        <v>6.2738666076030481E-3</v>
      </c>
      <c r="G281" s="15" cm="1">
        <f t="array" ref="G281">MMS_Dairy_N2ODirect_Equations.VEERG_4_3_1_3__1_TotalAnnualDirectNitrousOxideEmissionsFromMMS(G246,$E273,$I$264)</f>
        <v>2.8656241849371834E-3</v>
      </c>
      <c r="H281" s="15" cm="1">
        <f t="array" ref="H281">MMS_Dairy_N2ODirect_Equations.VEERG_4_3_1_3__1_TotalAnnualDirectNitrousOxideEmissionsFromMMS(H246,$E273,$I$264)</f>
        <v>1.1413478076603965E-3</v>
      </c>
      <c r="I281" s="15" cm="1">
        <f t="array" ref="I281">MMS_Dairy_N2ODirect_Equations.VEERG_4_3_1_3__1_TotalAnnualDirectNitrousOxideEmissionsFromMMS(I246,$E273,$I$264)</f>
        <v>3.6022029330550747E-3</v>
      </c>
      <c r="J281" s="15" cm="1">
        <f t="array" ref="J281">MMS_Dairy_N2ODirect_Equations.VEERG_4_3_1_3__1_TotalAnnualDirectNitrousOxideEmissionsFromMMS(J246,$E273,$I$264)</f>
        <v>1.5079877540994421E-3</v>
      </c>
      <c r="N281" s="15" t="str">
        <f>INDEX(X_Table_Dairy_ProductionSystems_Method1,3,1)</f>
        <v>Milking shed</v>
      </c>
      <c r="O281" s="15" t="s">
        <v>75</v>
      </c>
      <c r="P281" s="15" cm="1">
        <f t="array" ref="P281">MMS_Dairy_N2ODirect_Equations.VEERG_4_3_1_3__1_TotalAnnualDirectNitrousOxideEmissionsFromMMS(P246,$E273,$I$264)</f>
        <v>6.2738666076030481E-3</v>
      </c>
      <c r="Q281" s="15" cm="1">
        <f t="array" ref="Q281">MMS_Dairy_N2ODirect_Equations.VEERG_4_3_1_3__1_TotalAnnualDirectNitrousOxideEmissionsFromMMS(Q246,$E273,$I$264)</f>
        <v>2.8656241849371834E-3</v>
      </c>
      <c r="R281" s="15" cm="1">
        <f t="array" ref="R281">MMS_Dairy_N2ODirect_Equations.VEERG_4_3_1_3__1_TotalAnnualDirectNitrousOxideEmissionsFromMMS(R246,$E273,$I$264)</f>
        <v>1.1413478076603965E-3</v>
      </c>
      <c r="S281" s="15" cm="1">
        <f t="array" ref="S281">MMS_Dairy_N2ODirect_Equations.VEERG_4_3_1_3__1_TotalAnnualDirectNitrousOxideEmissionsFromMMS(S246,$E273,$I$264)</f>
        <v>3.6022029330550747E-3</v>
      </c>
      <c r="T281" s="15" cm="1">
        <f t="array" ref="T281">MMS_Dairy_N2ODirect_Equations.VEERG_4_3_1_3__1_TotalAnnualDirectNitrousOxideEmissionsFromMMS(T246,$E273,$I$264)</f>
        <v>1.5079877540994421E-3</v>
      </c>
    </row>
    <row r="282" spans="1:20" ht="20.100000000000001" customHeight="1" x14ac:dyDescent="0.25">
      <c r="D282" s="15" t="str">
        <f>INDEX(X_Table_Dairy_ProductionSystems_Method1,4,1)</f>
        <v>Feed pad</v>
      </c>
      <c r="E282" s="15" t="str">
        <f>INDEX(X_Table_Dairy_Stage1MMS_2_AnaerobicLagoon,2,1)</f>
        <v>Anaerobic lagoon</v>
      </c>
      <c r="F282" s="15" cm="1">
        <f t="array" ref="F282">MMS_Dairy_N2ODirect_Equations.VEERG_4_3_1_3__1_TotalAnnualDirectNitrousOxideEmissionsFromMMS(F247,$E270,$I$264)</f>
        <v>0</v>
      </c>
      <c r="G282" s="15" cm="1">
        <f t="array" ref="G282">MMS_Dairy_N2ODirect_Equations.VEERG_4_3_1_3__1_TotalAnnualDirectNitrousOxideEmissionsFromMMS(G247,$E270,$I$264)</f>
        <v>0</v>
      </c>
      <c r="H282" s="15" cm="1">
        <f t="array" ref="H282">MMS_Dairy_N2ODirect_Equations.VEERG_4_3_1_3__1_TotalAnnualDirectNitrousOxideEmissionsFromMMS(H247,$E270,$I$264)</f>
        <v>0</v>
      </c>
      <c r="I282" s="15" cm="1">
        <f t="array" ref="I282">MMS_Dairy_N2ODirect_Equations.VEERG_4_3_1_3__1_TotalAnnualDirectNitrousOxideEmissionsFromMMS(I247,$E270,$I$264)</f>
        <v>0</v>
      </c>
      <c r="J282" s="15" cm="1">
        <f t="array" ref="J282">MMS_Dairy_N2ODirect_Equations.VEERG_4_3_1_3__1_TotalAnnualDirectNitrousOxideEmissionsFromMMS(J247,$E270,$I$264)</f>
        <v>0</v>
      </c>
      <c r="N282" s="15" t="str">
        <f>INDEX(X_Table_Dairy_ProductionSystems_Method1,4,1)</f>
        <v>Feed pad</v>
      </c>
      <c r="O282" s="15" t="str">
        <f>INDEX(X_Table_Dairy_Stage1MMS_2_AnaerobicLagoon,2,1)</f>
        <v>Anaerobic lagoon</v>
      </c>
      <c r="P282" s="15" cm="1">
        <f t="array" ref="P282">MMS_Dairy_N2ODirect_Equations.VEERG_4_3_1_3__1_TotalAnnualDirectNitrousOxideEmissionsFromMMS(P247,$E270,$I$264)</f>
        <v>0</v>
      </c>
      <c r="Q282" s="15" cm="1">
        <f t="array" ref="Q282">MMS_Dairy_N2ODirect_Equations.VEERG_4_3_1_3__1_TotalAnnualDirectNitrousOxideEmissionsFromMMS(Q247,$E270,$I$264)</f>
        <v>0</v>
      </c>
      <c r="R282" s="15" cm="1">
        <f t="array" ref="R282">MMS_Dairy_N2ODirect_Equations.VEERG_4_3_1_3__1_TotalAnnualDirectNitrousOxideEmissionsFromMMS(R247,$E270,$I$264)</f>
        <v>0</v>
      </c>
      <c r="S282" s="15" cm="1">
        <f t="array" ref="S282">MMS_Dairy_N2ODirect_Equations.VEERG_4_3_1_3__1_TotalAnnualDirectNitrousOxideEmissionsFromMMS(S247,$E270,$I$264)</f>
        <v>0</v>
      </c>
      <c r="T282" s="15" cm="1">
        <f t="array" ref="T282">MMS_Dairy_N2ODirect_Equations.VEERG_4_3_1_3__1_TotalAnnualDirectNitrousOxideEmissionsFromMMS(T247,$E270,$I$264)</f>
        <v>0</v>
      </c>
    </row>
    <row r="283" spans="1:20" ht="20.100000000000001" customHeight="1" x14ac:dyDescent="0.25">
      <c r="D283" s="15" t="str">
        <f>INDEX(X_Table_Dairy_ProductionSystems_Method1,4,1)</f>
        <v>Feed pad</v>
      </c>
      <c r="E283" s="15" t="str">
        <f>INDEX(X_Table_Dairy_Stage1MMS_2_SumpAndDispersal,2,1)</f>
        <v>Sump and dispersal system</v>
      </c>
      <c r="F283" s="15" cm="1">
        <f t="array" ref="F283">MMS_Dairy_N2ODirect_Equations.VEERG_4_3_1_3__1_TotalAnnualDirectNitrousOxideEmissionsFromMMS(F248,$E271,$I$264)</f>
        <v>0</v>
      </c>
      <c r="G283" s="15" cm="1">
        <f t="array" ref="G283">MMS_Dairy_N2ODirect_Equations.VEERG_4_3_1_3__1_TotalAnnualDirectNitrousOxideEmissionsFromMMS(G248,$E271,$I$264)</f>
        <v>0</v>
      </c>
      <c r="H283" s="15" cm="1">
        <f t="array" ref="H283">MMS_Dairy_N2ODirect_Equations.VEERG_4_3_1_3__1_TotalAnnualDirectNitrousOxideEmissionsFromMMS(H248,$E271,$I$264)</f>
        <v>0</v>
      </c>
      <c r="I283" s="15" cm="1">
        <f t="array" ref="I283">MMS_Dairy_N2ODirect_Equations.VEERG_4_3_1_3__1_TotalAnnualDirectNitrousOxideEmissionsFromMMS(I248,$E271,$I$264)</f>
        <v>0</v>
      </c>
      <c r="J283" s="15" cm="1">
        <f t="array" ref="J283">MMS_Dairy_N2ODirect_Equations.VEERG_4_3_1_3__1_TotalAnnualDirectNitrousOxideEmissionsFromMMS(J248,$E271,$I$264)</f>
        <v>0</v>
      </c>
      <c r="N283" s="15" t="str">
        <f>INDEX(X_Table_Dairy_ProductionSystems_Method1,4,1)</f>
        <v>Feed pad</v>
      </c>
      <c r="O283" s="15" t="str">
        <f>INDEX(X_Table_Dairy_Stage1MMS_2_SumpAndDispersal,2,1)</f>
        <v>Sump and dispersal system</v>
      </c>
      <c r="P283" s="15" cm="1">
        <f t="array" ref="P283">MMS_Dairy_N2ODirect_Equations.VEERG_4_3_1_3__1_TotalAnnualDirectNitrousOxideEmissionsFromMMS(P248,$E271,$I$264)</f>
        <v>0</v>
      </c>
      <c r="Q283" s="15" cm="1">
        <f t="array" ref="Q283">MMS_Dairy_N2ODirect_Equations.VEERG_4_3_1_3__1_TotalAnnualDirectNitrousOxideEmissionsFromMMS(Q248,$E271,$I$264)</f>
        <v>0</v>
      </c>
      <c r="R283" s="15" cm="1">
        <f t="array" ref="R283">MMS_Dairy_N2ODirect_Equations.VEERG_4_3_1_3__1_TotalAnnualDirectNitrousOxideEmissionsFromMMS(R248,$E271,$I$264)</f>
        <v>0</v>
      </c>
      <c r="S283" s="15" cm="1">
        <f t="array" ref="S283">MMS_Dairy_N2ODirect_Equations.VEERG_4_3_1_3__1_TotalAnnualDirectNitrousOxideEmissionsFromMMS(S248,$E271,$I$264)</f>
        <v>0</v>
      </c>
      <c r="T283" s="15" cm="1">
        <f t="array" ref="T283">MMS_Dairy_N2ODirect_Equations.VEERG_4_3_1_3__1_TotalAnnualDirectNitrousOxideEmissionsFromMMS(T248,$E271,$I$264)</f>
        <v>0</v>
      </c>
    </row>
    <row r="284" spans="1:20" ht="20.100000000000001" customHeight="1" x14ac:dyDescent="0.25">
      <c r="D284" s="15" t="str">
        <f>INDEX(X_Table_Dairy_ProductionSystems_Method1,4,1)</f>
        <v>Feed pad</v>
      </c>
      <c r="E284" s="15" t="str">
        <f>INDEX(X_Table_Dairy_Stage1MMS_2_DrainsToPaddock,2,1)</f>
        <v>Drains to paddock</v>
      </c>
      <c r="F284" s="15" cm="1">
        <f t="array" ref="F284">MMS_Dairy_N2ODirect_Equations.VEERG_4_3_1_3__1_TotalAnnualDirectNitrousOxideEmissionsFromMMS(F249,$E272,$I$264)</f>
        <v>0</v>
      </c>
      <c r="G284" s="15" cm="1">
        <f t="array" ref="G284">MMS_Dairy_N2ODirect_Equations.VEERG_4_3_1_3__1_TotalAnnualDirectNitrousOxideEmissionsFromMMS(G249,$E272,$I$264)</f>
        <v>0</v>
      </c>
      <c r="H284" s="15" cm="1">
        <f t="array" ref="H284">MMS_Dairy_N2ODirect_Equations.VEERG_4_3_1_3__1_TotalAnnualDirectNitrousOxideEmissionsFromMMS(H249,$E272,$I$264)</f>
        <v>0</v>
      </c>
      <c r="I284" s="15" cm="1">
        <f t="array" ref="I284">MMS_Dairy_N2ODirect_Equations.VEERG_4_3_1_3__1_TotalAnnualDirectNitrousOxideEmissionsFromMMS(I249,$E272,$I$264)</f>
        <v>0</v>
      </c>
      <c r="J284" s="15" cm="1">
        <f t="array" ref="J284">MMS_Dairy_N2ODirect_Equations.VEERG_4_3_1_3__1_TotalAnnualDirectNitrousOxideEmissionsFromMMS(J249,$E272,$I$264)</f>
        <v>0</v>
      </c>
      <c r="N284" s="15" t="str">
        <f>INDEX(X_Table_Dairy_ProductionSystems_Method1,4,1)</f>
        <v>Feed pad</v>
      </c>
      <c r="O284" s="15" t="str">
        <f>INDEX(X_Table_Dairy_Stage1MMS_2_DrainsToPaddock,2,1)</f>
        <v>Drains to paddock</v>
      </c>
      <c r="P284" s="15" cm="1">
        <f t="array" ref="P284">MMS_Dairy_N2ODirect_Equations.VEERG_4_3_1_3__1_TotalAnnualDirectNitrousOxideEmissionsFromMMS(P249,$E272,$I$264)</f>
        <v>0</v>
      </c>
      <c r="Q284" s="15" cm="1">
        <f t="array" ref="Q284">MMS_Dairy_N2ODirect_Equations.VEERG_4_3_1_3__1_TotalAnnualDirectNitrousOxideEmissionsFromMMS(Q249,$E272,$I$264)</f>
        <v>0</v>
      </c>
      <c r="R284" s="15" cm="1">
        <f t="array" ref="R284">MMS_Dairy_N2ODirect_Equations.VEERG_4_3_1_3__1_TotalAnnualDirectNitrousOxideEmissionsFromMMS(R249,$E272,$I$264)</f>
        <v>0</v>
      </c>
      <c r="S284" s="15" cm="1">
        <f t="array" ref="S284">MMS_Dairy_N2ODirect_Equations.VEERG_4_3_1_3__1_TotalAnnualDirectNitrousOxideEmissionsFromMMS(S249,$E272,$I$264)</f>
        <v>0</v>
      </c>
      <c r="T284" s="15" cm="1">
        <f t="array" ref="T284">MMS_Dairy_N2ODirect_Equations.VEERG_4_3_1_3__1_TotalAnnualDirectNitrousOxideEmissionsFromMMS(T249,$E272,$I$264)</f>
        <v>0</v>
      </c>
    </row>
    <row r="285" spans="1:20" ht="20.100000000000001" customHeight="1" x14ac:dyDescent="0.25">
      <c r="A285" s="128" t="str">
        <f>HYPERLINK("#A1", "▲ Back to top")</f>
        <v>▲ Back to top</v>
      </c>
      <c r="D285" s="15" t="str">
        <f>INDEX(X_Table_Dairy_ProductionSystems_Method1,4,1)</f>
        <v>Feed pad</v>
      </c>
      <c r="E285" s="15" t="s">
        <v>75</v>
      </c>
      <c r="F285" s="15" cm="1">
        <f t="array" ref="F285">MMS_Dairy_N2ODirect_Equations.VEERG_4_3_1_3__1_TotalAnnualDirectNitrousOxideEmissionsFromMMS(F250,$E273,$I$264)</f>
        <v>1.7766449529712264E-2</v>
      </c>
      <c r="G285" s="15" cm="1">
        <f t="array" ref="G285">MMS_Dairy_N2ODirect_Equations.VEERG_4_3_1_3__1_TotalAnnualDirectNitrousOxideEmissionsFromMMS(G250,$E273,$I$264)</f>
        <v>8.1149266691630251E-3</v>
      </c>
      <c r="H285" s="15" cm="1">
        <f t="array" ref="H285">MMS_Dairy_N2ODirect_Equations.VEERG_4_3_1_3__1_TotalAnnualDirectNitrousOxideEmissionsFromMMS(H250,$E273,$I$264)</f>
        <v>3.2320894735110321E-3</v>
      </c>
      <c r="I285" s="15" cm="1">
        <f t="array" ref="I285">MMS_Dairy_N2ODirect_Equations.VEERG_4_3_1_3__1_TotalAnnualDirectNitrousOxideEmissionsFromMMS(I250,$E273,$I$264)</f>
        <v>1.0200783760424144E-2</v>
      </c>
      <c r="J285" s="15" cm="1">
        <f t="array" ref="J285">MMS_Dairy_N2ODirect_Equations.VEERG_4_3_1_3__1_TotalAnnualDirectNitrousOxideEmissionsFromMMS(J250,$E273,$I$264)</f>
        <v>4.2703471400179658E-3</v>
      </c>
      <c r="N285" s="15" t="str">
        <f>INDEX(X_Table_Dairy_ProductionSystems_Method1,4,1)</f>
        <v>Feed pad</v>
      </c>
      <c r="O285" s="15" t="s">
        <v>75</v>
      </c>
      <c r="P285" s="15" cm="1">
        <f t="array" ref="P285">MMS_Dairy_N2ODirect_Equations.VEERG_4_3_1_3__1_TotalAnnualDirectNitrousOxideEmissionsFromMMS(P250,$E273,$I$264)</f>
        <v>1.7766449529712264E-2</v>
      </c>
      <c r="Q285" s="15" cm="1">
        <f t="array" ref="Q285">MMS_Dairy_N2ODirect_Equations.VEERG_4_3_1_3__1_TotalAnnualDirectNitrousOxideEmissionsFromMMS(Q250,$E273,$I$264)</f>
        <v>8.1149266691630251E-3</v>
      </c>
      <c r="R285" s="15" cm="1">
        <f t="array" ref="R285">MMS_Dairy_N2ODirect_Equations.VEERG_4_3_1_3__1_TotalAnnualDirectNitrousOxideEmissionsFromMMS(R250,$E273,$I$264)</f>
        <v>3.2320894735110321E-3</v>
      </c>
      <c r="S285" s="15" cm="1">
        <f t="array" ref="S285">MMS_Dairy_N2ODirect_Equations.VEERG_4_3_1_3__1_TotalAnnualDirectNitrousOxideEmissionsFromMMS(S250,$E273,$I$264)</f>
        <v>1.0200783760424144E-2</v>
      </c>
      <c r="T285" s="1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88" t="s">
        <v>492</v>
      </c>
      <c r="E287" s="91">
        <f>SUM(F278:J285)</f>
        <v>5.8975625860183567E-2</v>
      </c>
      <c r="F287" s="90" t="str">
        <f>$E$260</f>
        <v>t N2O</v>
      </c>
      <c r="N287" s="88" t="s">
        <v>492</v>
      </c>
      <c r="O287" s="91">
        <f>SUM(P278:T285)</f>
        <v>5.8975625860183567E-2</v>
      </c>
      <c r="P287" s="90" t="str">
        <f>$E$260</f>
        <v>t N2O</v>
      </c>
    </row>
    <row r="288" spans="1:20" ht="20.100000000000001" customHeight="1" x14ac:dyDescent="0.25"/>
    <row r="289" spans="4:17" ht="20.100000000000001" customHeight="1" x14ac:dyDescent="0.25">
      <c r="D289" s="131" t="str" cm="1">
        <f t="array" ref="D289:E290">Common_Equations.Common_ConvertN2OToCO2e_Arguments()</f>
        <v>EN2O</v>
      </c>
      <c r="E289" s="134" t="str">
        <v>Nitrous oxide emissions (t N2O)</v>
      </c>
      <c r="F289" s="135"/>
      <c r="G289" s="15">
        <f>VEERG_4_3_1_3__1_TotalAnnualDirectNitrousOxideEmissionsFromMMS_Result_Method1</f>
        <v>5.8975625860183567E-2</v>
      </c>
      <c r="N289" s="131" t="str" cm="1">
        <f t="array" ref="N289:O290">Common_Equations.Common_ConvertN2OToCO2e_Arguments()</f>
        <v>EN2O</v>
      </c>
      <c r="O289" s="134" t="str">
        <v>Nitrous oxide emissions (t N2O)</v>
      </c>
      <c r="P289" s="135"/>
      <c r="Q289" s="15">
        <f>VEERG_4_3_1_3__1_TotalAnnualDirectNitrousOxideEmissionsFromMMS_Result_Method2</f>
        <v>5.8975625860183567E-2</v>
      </c>
    </row>
    <row r="290" spans="4:17" ht="20.100000000000001" customHeight="1" x14ac:dyDescent="0.25">
      <c r="D290" s="131" t="str">
        <v>GWPN2O</v>
      </c>
      <c r="E290" s="134" t="str">
        <v>Global warming potential for nitrous oxide (t CO2-e / t N2O)</v>
      </c>
      <c r="F290" s="135"/>
      <c r="G290" s="15">
        <f>Common_InputFunctions.Utility_LookupValueInTableNumber("N2O",Table_GWPData[Gas],Table_GWPData[CO2-e factor])</f>
        <v>265</v>
      </c>
      <c r="N290" s="131" t="str">
        <v>GWPN2O</v>
      </c>
      <c r="O290" s="134" t="str">
        <v>Global warming potential for nitrous oxide (t CO2-e / t N2O)</v>
      </c>
      <c r="P290" s="135"/>
      <c r="Q290" s="15">
        <f>Common_InputFunctions.Utility_LookupValueInTableNumber("N2O",Table_GWPData[Gas],Table_GWPData[CO2-e factor])</f>
        <v>265</v>
      </c>
    </row>
    <row r="291" spans="4:17" ht="20.100000000000001" customHeight="1" x14ac:dyDescent="0.25"/>
    <row r="292" spans="4:17" ht="18.75" x14ac:dyDescent="0.25">
      <c r="D292" s="89" t="s">
        <v>493</v>
      </c>
      <c r="E292" s="89" cm="1">
        <f t="array" ref="E292">Common_Equations.Common_ConvertN2OToCO2e(G289,G290)</f>
        <v>15.628540852948646</v>
      </c>
      <c r="F292" s="94" t="str" cm="1">
        <f t="array" ref="F292">Common_Equations.Common_ConvertN2OToCO2e_Unit()</f>
        <v>t CO2e</v>
      </c>
      <c r="N292" s="89" t="s">
        <v>493</v>
      </c>
      <c r="O292" s="89" cm="1">
        <f t="array" ref="O292">Common_Equations.Common_ConvertN2OToCO2e(Q289,Q290)</f>
        <v>15.628540852948646</v>
      </c>
      <c r="P292" s="94"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A80BA315-50D5-4D17-9782-E4270C5E1CD9}"/>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30CA-9EAF-4B8D-9DBC-63D4AA2E04E2}">
  <sheetPr>
    <tabColor rgb="FF008000"/>
  </sheetPr>
  <dimension ref="A1:W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494</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MMS_Dairy_AtmosphericDeposition_Equations.VEERG_4_3_1_5__2_TotalNitrogenVolatilisedFromMMS_Title()</f>
        <v>Total nitrogen volatilised from MMS</v>
      </c>
    </row>
    <row r="6" spans="1:23" ht="20.100000000000001" customHeight="1" x14ac:dyDescent="0.25">
      <c r="A6" s="5" t="str">
        <f>HYPERLINK("#'Results'!A1", "Results")</f>
        <v>Results</v>
      </c>
      <c r="D6" s="17" t="str" cm="1">
        <f t="array" ref="D6">MMS_Dairy_AtmosphericDeposition_Equations.VEERG_4_3_1_5__2_TotalNitrogenVolatilisedFromMMS_Source()</f>
        <v>VEERG 2026: 4.3.1.5, Equation (2)</v>
      </c>
    </row>
    <row r="7" spans="1:23" ht="20.100000000000001" customHeight="1" x14ac:dyDescent="0.25">
      <c r="D7" s="117" t="s">
        <v>343</v>
      </c>
      <c r="E7" s="117" t="str" cm="1">
        <f t="array" aca="1" ref="E7" ca="1">Common_InputFunctions.Utility_DisplayFunctionName(F40)</f>
        <v>=MMS_Dairy_AtmosphericDeposition_Equations.VEERG_4_3_1_5__2_TotalNitrogenVolatilisedFromMMS</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344</v>
      </c>
      <c r="E10" s="1" t="str" cm="1">
        <f t="array" ref="E10">MMS_Dairy_AtmosphericDeposition_Equations.VEERG_4_3_1_5__2_TotalNitrogenVolatilisedFromMMS_Variable()</f>
        <v>MN_ATMOS</v>
      </c>
    </row>
    <row r="11" spans="1:23" ht="20.100000000000001" customHeight="1" x14ac:dyDescent="0.25">
      <c r="A11" s="5" t="str">
        <f>HYPERLINK("#'Input - Site'!A1", "Site")</f>
        <v>Site</v>
      </c>
      <c r="D11" s="76" t="s">
        <v>118</v>
      </c>
      <c r="E11" s="9" t="str" cm="1">
        <f t="array" ref="E11">MMS_Dairy_AtmosphericDeposition_Equations.VEERG_4_3_1_5__2_TotalNitrogenVolatilisedFromMMS_Unit()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_xlfn.CHOOSECOLS(MMS_Dairy_AtmosphericDeposition_Equations.VEERG_4_3_1_5__2_TotalNitrogenVolatilisedFromMMS_Arguments(),1,2)</f>
        <v>MN_jm</v>
      </c>
      <c r="E13" s="124" t="str">
        <v>total nitrogen in each MMS for dairy cattle classes</v>
      </c>
      <c r="F13" s="125"/>
      <c r="G13" s="119" t="str" cm="1">
        <f t="array" ref="G13:H14">_xlfn.CHOOSECOLS(MMS_Dairy_AtmosphericDeposition_Equations.VEERG_4_3_1_5__2_TotalNitrogenVolatilisedFromMMS_Arguments(),3,4)</f>
        <v>kg N</v>
      </c>
      <c r="H13" s="127" t="str">
        <v>Calculated from 4.3.1.3 (2)</v>
      </c>
      <c r="I13" s="126" t="str" cm="1">
        <f t="array" aca="1" ref="I13" ca="1">HYPERLINK(Common_InputFunctions.Utility_SourceHyperlink(D$16),D$16)</f>
        <v>M1_Table_MN_j_m</v>
      </c>
    </row>
    <row r="14" spans="1:23" ht="20.100000000000001" customHeight="1" x14ac:dyDescent="0.25">
      <c r="A14" s="5" t="str">
        <f>HYPERLINK("#'Input - Dairy cattle purchases'!A1", "Dairy cattle purchases")</f>
        <v>Dairy cattle purchases</v>
      </c>
      <c r="D14" s="119" t="str">
        <v>FracGASM_m</v>
      </c>
      <c r="E14" s="124" t="str">
        <v>fraction of N volatilised from MMS</v>
      </c>
      <c r="F14" s="125"/>
      <c r="G14" s="119" t="str">
        <v>fraction</v>
      </c>
      <c r="H14" s="127" t="str">
        <v>Constant</v>
      </c>
      <c r="I14" s="126" t="str" cm="1">
        <f t="array" aca="1" ref="I14" ca="1">HYPERLINK(Common_InputFunctions.Utility_SourceHyperlink($D$28),$D$28)</f>
        <v>Table_FracGASM_m</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481</v>
      </c>
      <c r="O16" s="121" t="s">
        <v>482</v>
      </c>
    </row>
    <row r="17" spans="1:22" ht="20.100000000000001" customHeight="1" x14ac:dyDescent="0.25">
      <c r="A17" s="5" t="str">
        <f>HYPERLINK("#'Input - Fertiliser'!A1", "Fertiliser")</f>
        <v>Fertiliser</v>
      </c>
      <c r="D17" s="122" t="s">
        <v>483</v>
      </c>
      <c r="O17" s="122" t="s">
        <v>484</v>
      </c>
    </row>
    <row r="18" spans="1:22" ht="20.100000000000001" customHeight="1" x14ac:dyDescent="0.25">
      <c r="A18" s="5" t="str">
        <f>HYPERLINK("#'Input - Fuel'!A1", "Fuel")</f>
        <v>Fuel</v>
      </c>
      <c r="D18" s="123" t="s">
        <v>161</v>
      </c>
      <c r="E18" s="123" t="s">
        <v>388</v>
      </c>
      <c r="F18" s="123" t="s">
        <v>295</v>
      </c>
      <c r="G18" s="123" t="s">
        <v>296</v>
      </c>
      <c r="H18" s="123" t="s">
        <v>297</v>
      </c>
      <c r="I18" s="123" t="s">
        <v>298</v>
      </c>
      <c r="J18" s="123" t="s">
        <v>299</v>
      </c>
      <c r="O18" s="123" t="s">
        <v>161</v>
      </c>
      <c r="P18" s="123" t="s">
        <v>388</v>
      </c>
      <c r="Q18" s="123" t="s">
        <v>295</v>
      </c>
      <c r="R18" s="123" t="s">
        <v>296</v>
      </c>
      <c r="S18" s="123" t="s">
        <v>297</v>
      </c>
      <c r="T18" s="123" t="s">
        <v>298</v>
      </c>
      <c r="U18" s="123" t="s">
        <v>299</v>
      </c>
    </row>
    <row r="19" spans="1:22" ht="20.100000000000001" customHeight="1" x14ac:dyDescent="0.25">
      <c r="A19" s="5" t="str">
        <f>HYPERLINK("#'Input - Electricity'!A1", "Electricity")</f>
        <v>Electricity</v>
      </c>
      <c r="D19" s="15" t="str">
        <f>INDEX(X_Table_Dairy_ProductionSystems_Method1,3,1)</f>
        <v>Milking shed</v>
      </c>
      <c r="E19" s="15" t="str">
        <f>INDEX(X_Table_Dairy_Stage1MMS_1_AnaerobicLagoon,2,1)</f>
        <v>Anaerobic lagoon</v>
      </c>
      <c r="F19" s="15">
        <f>INDEX(M1_Table_MN_j_m,2,3)</f>
        <v>399.24605684746678</v>
      </c>
      <c r="G19" s="15">
        <f>INDEX(M1_Table_MN_j_m,2,4)</f>
        <v>182.35790267782079</v>
      </c>
      <c r="H19" s="15">
        <f>INDEX(M1_Table_MN_j_m,2,5)</f>
        <v>72.631224123843424</v>
      </c>
      <c r="I19" s="15">
        <f>INDEX(M1_Table_MN_j_m,2,6)</f>
        <v>229.23109573986844</v>
      </c>
      <c r="J19" s="15">
        <f>INDEX(M1_Table_MN_j_m,2,7)</f>
        <v>95.962857079055411</v>
      </c>
      <c r="K19" s="16" t="str">
        <f>$G$13</f>
        <v>kg N</v>
      </c>
      <c r="O19" s="15" t="str">
        <f>INDEX(X_Table_Dairy_ProductionSystems_Method1,3,1)</f>
        <v>Milking shed</v>
      </c>
      <c r="P19" s="15" t="str">
        <f>INDEX(X_Table_Dairy_Stage1MMS_1_AnaerobicLagoon,2,1)</f>
        <v>Anaerobic lagoon</v>
      </c>
      <c r="Q19" s="15">
        <f>INDEX(M2_Table_MN_j_m,2,3)</f>
        <v>399.24605684746678</v>
      </c>
      <c r="R19" s="15">
        <f>INDEX(M2_Table_MN_j_m,2,4)</f>
        <v>182.35790267782079</v>
      </c>
      <c r="S19" s="15">
        <f>INDEX(M2_Table_MN_j_m,2,5)</f>
        <v>72.631224123843424</v>
      </c>
      <c r="T19" s="15">
        <f>INDEX(M2_Table_MN_j_m,2,6)</f>
        <v>229.23109573986844</v>
      </c>
      <c r="U19" s="15">
        <f>INDEX(M2_Table_MN_j_m,2,7)</f>
        <v>95.962857079055411</v>
      </c>
      <c r="V19" s="16" t="str">
        <f>$G$13</f>
        <v>kg N</v>
      </c>
    </row>
    <row r="20" spans="1:22" ht="20.100000000000001" customHeight="1" x14ac:dyDescent="0.25">
      <c r="A20" s="5" t="str">
        <f>HYPERLINK("#'Input - Common farm inputs'!A1", "Common farm inputs")</f>
        <v>Common farm inputs</v>
      </c>
      <c r="D20" s="15" t="str">
        <f>INDEX(X_Table_Dairy_ProductionSystems_Method1,3,1)</f>
        <v>Milking shed</v>
      </c>
      <c r="E20" s="15" t="str">
        <f>INDEX(X_Table_Dairy_Stage1MMS_1_SumpAndDispersal,2,1)</f>
        <v>Sump and dispersal system</v>
      </c>
      <c r="F20" s="15">
        <f>INDEX(M1_Table_MN_j_m,3,3)</f>
        <v>399.24605684746678</v>
      </c>
      <c r="G20" s="15">
        <f>INDEX(M1_Table_MN_j_m,3,4)</f>
        <v>182.35790267782079</v>
      </c>
      <c r="H20" s="15">
        <f>INDEX(M1_Table_MN_j_m,3,5)</f>
        <v>72.631224123843424</v>
      </c>
      <c r="I20" s="15">
        <f>INDEX(M1_Table_MN_j_m,3,6)</f>
        <v>229.23109573986844</v>
      </c>
      <c r="J20" s="15">
        <f>INDEX(M1_Table_MN_j_m,3,7)</f>
        <v>95.962857079055411</v>
      </c>
      <c r="K20" s="16"/>
      <c r="O20" s="15" t="str">
        <f>INDEX(X_Table_Dairy_ProductionSystems_Method1,3,1)</f>
        <v>Milking shed</v>
      </c>
      <c r="P20" s="15" t="str">
        <f>INDEX(X_Table_Dairy_Stage1MMS_1_SumpAndDispersal,2,1)</f>
        <v>Sump and dispersal system</v>
      </c>
      <c r="Q20" s="15">
        <f>INDEX(M2_Table_MN_j_m,3,3)</f>
        <v>399.24605684746678</v>
      </c>
      <c r="R20" s="15">
        <f>INDEX(M2_Table_MN_j_m,3,4)</f>
        <v>182.35790267782079</v>
      </c>
      <c r="S20" s="15">
        <f>INDEX(M2_Table_MN_j_m,3,5)</f>
        <v>72.631224123843424</v>
      </c>
      <c r="T20" s="15">
        <f>INDEX(M2_Table_MN_j_m,3,6)</f>
        <v>229.23109573986844</v>
      </c>
      <c r="U20" s="15">
        <f>INDEX(M2_Table_MN_j_m,3,7)</f>
        <v>95.962857079055411</v>
      </c>
      <c r="V20" s="16"/>
    </row>
    <row r="21" spans="1:22" ht="20.100000000000001" customHeight="1" x14ac:dyDescent="0.25">
      <c r="A21" s="5" t="str">
        <f>HYPERLINK("#'Input - Crop pasture farm input'!A1", "Crop pasture farm input")</f>
        <v>Crop pasture farm input</v>
      </c>
      <c r="D21" s="15" t="str">
        <f>INDEX(X_Table_Dairy_ProductionSystems_Method1,3,1)</f>
        <v>Milking shed</v>
      </c>
      <c r="E21" s="15" t="str">
        <f>INDEX(X_Table_Dairy_Stage1MMS_1_DrainsToPaddock,2,1)</f>
        <v>Drains to paddock</v>
      </c>
      <c r="F21" s="15">
        <f>INDEX(M1_Table_MN_j_m,4,3)</f>
        <v>399.24605684746678</v>
      </c>
      <c r="G21" s="15">
        <f>INDEX(M1_Table_MN_j_m,4,4)</f>
        <v>182.35790267782079</v>
      </c>
      <c r="H21" s="15">
        <f>INDEX(M1_Table_MN_j_m,4,5)</f>
        <v>72.631224123843424</v>
      </c>
      <c r="I21" s="15">
        <f>INDEX(M1_Table_MN_j_m,4,6)</f>
        <v>229.23109573986844</v>
      </c>
      <c r="J21" s="15">
        <f>INDEX(M1_Table_MN_j_m,4,7)</f>
        <v>95.962857079055411</v>
      </c>
      <c r="K21" s="16"/>
      <c r="O21" s="15" t="str">
        <f>INDEX(X_Table_Dairy_ProductionSystems_Method1,3,1)</f>
        <v>Milking shed</v>
      </c>
      <c r="P21" s="15" t="str">
        <f>INDEX(X_Table_Dairy_Stage1MMS_1_DrainsToPaddock,2,1)</f>
        <v>Drains to paddock</v>
      </c>
      <c r="Q21" s="15">
        <f>INDEX(M2_Table_MN_j_m,4,3)</f>
        <v>399.24605684746678</v>
      </c>
      <c r="R21" s="15">
        <f>INDEX(M2_Table_MN_j_m,4,4)</f>
        <v>182.35790267782079</v>
      </c>
      <c r="S21" s="15">
        <f>INDEX(M2_Table_MN_j_m,4,5)</f>
        <v>72.631224123843424</v>
      </c>
      <c r="T21" s="15">
        <f>INDEX(M2_Table_MN_j_m,4,6)</f>
        <v>229.23109573986844</v>
      </c>
      <c r="U21" s="15">
        <f>INDEX(M2_Table_MN_j_m,4,7)</f>
        <v>95.962857079055411</v>
      </c>
      <c r="V21" s="16"/>
    </row>
    <row r="22" spans="1:22" ht="20.100000000000001" customHeight="1" x14ac:dyDescent="0.25">
      <c r="A22" s="5" t="str">
        <f>HYPERLINK("#'Input - Livestock farm Inputs'!A1", "Livestock farm Inputs")</f>
        <v>Livestock farm Inputs</v>
      </c>
      <c r="D22" s="15" t="str">
        <f>INDEX(X_Table_Dairy_ProductionSystems_Method1,3,1)</f>
        <v>Milking shed</v>
      </c>
      <c r="E22" s="15" t="s">
        <v>75</v>
      </c>
      <c r="F22" s="15">
        <f>INDEX(M1_Table_MN_j_m,5,3)</f>
        <v>798.49211369493332</v>
      </c>
      <c r="G22" s="15">
        <f>INDEX(M1_Table_MN_j_m,5,4)</f>
        <v>364.71580535564152</v>
      </c>
      <c r="H22" s="15">
        <f>INDEX(M1_Table_MN_j_m,5,5)</f>
        <v>145.26244824768682</v>
      </c>
      <c r="I22" s="15">
        <f>INDEX(M1_Table_MN_j_m,5,6)</f>
        <v>458.46219147973682</v>
      </c>
      <c r="J22" s="15">
        <f>INDEX(M1_Table_MN_j_m,5,7)</f>
        <v>191.92571415811079</v>
      </c>
      <c r="K22" s="16"/>
      <c r="O22" s="15" t="str">
        <f>INDEX(X_Table_Dairy_ProductionSystems_Method1,3,1)</f>
        <v>Milking shed</v>
      </c>
      <c r="P22" s="15" t="s">
        <v>75</v>
      </c>
      <c r="Q22" s="15">
        <f>INDEX(M2_Table_MN_j_m,5,3)</f>
        <v>798.49211369493332</v>
      </c>
      <c r="R22" s="15">
        <f>INDEX(M2_Table_MN_j_m,5,4)</f>
        <v>364.71580535564152</v>
      </c>
      <c r="S22" s="15">
        <f>INDEX(M2_Table_MN_j_m,5,5)</f>
        <v>145.26244824768682</v>
      </c>
      <c r="T22" s="15">
        <f>INDEX(M2_Table_MN_j_m,5,6)</f>
        <v>458.46219147973682</v>
      </c>
      <c r="U22" s="15">
        <f>INDEX(M2_Table_MN_j_m,5,7)</f>
        <v>191.92571415811079</v>
      </c>
      <c r="V22" s="16"/>
    </row>
    <row r="23" spans="1:22" ht="20.100000000000001" customHeight="1" x14ac:dyDescent="0.25">
      <c r="A23" s="5" t="str">
        <f>HYPERLINK("#'Input - Freight'!A1", "Freight")</f>
        <v>Freight</v>
      </c>
      <c r="D23" s="15" t="str">
        <f>INDEX(X_Table_Dairy_ProductionSystems_Method1,4,1)</f>
        <v>Feed pad</v>
      </c>
      <c r="E23" s="15" t="str">
        <f>INDEX(X_Table_Dairy_Stage1MMS_2_AnaerobicLagoon,2,1)</f>
        <v>Anaerobic lagoon</v>
      </c>
      <c r="F23" s="15">
        <f>INDEX(M1_Table_MN_j_m,6,3)</f>
        <v>1615.131775428388</v>
      </c>
      <c r="G23" s="15">
        <f>INDEX(M1_Table_MN_j_m,6,4)</f>
        <v>737.72060628754764</v>
      </c>
      <c r="H23" s="15">
        <f>INDEX(M1_Table_MN_j_m,6,5)</f>
        <v>293.82631577373019</v>
      </c>
      <c r="I23" s="15">
        <f>INDEX(M1_Table_MN_j_m,6,6)</f>
        <v>927.34397822037681</v>
      </c>
      <c r="J23" s="15">
        <f>INDEX(M1_Table_MN_j_m,6,7)</f>
        <v>388.21337636526954</v>
      </c>
      <c r="K23" s="16"/>
      <c r="O23" s="15" t="str">
        <f>INDEX(X_Table_Dairy_ProductionSystems_Method1,4,1)</f>
        <v>Feed pad</v>
      </c>
      <c r="P23" s="15" t="str">
        <f>INDEX(X_Table_Dairy_Stage1MMS_2_AnaerobicLagoon,2,1)</f>
        <v>Anaerobic lagoon</v>
      </c>
      <c r="Q23" s="15">
        <f>INDEX(M2_Table_MN_j_m,6,3)</f>
        <v>1615.131775428388</v>
      </c>
      <c r="R23" s="15">
        <f>INDEX(M2_Table_MN_j_m,6,4)</f>
        <v>737.72060628754764</v>
      </c>
      <c r="S23" s="15">
        <f>INDEX(M2_Table_MN_j_m,6,5)</f>
        <v>293.82631577373019</v>
      </c>
      <c r="T23" s="15">
        <f>INDEX(M2_Table_MN_j_m,6,6)</f>
        <v>927.34397822037681</v>
      </c>
      <c r="U23" s="15">
        <f>INDEX(M2_Table_MN_j_m,6,7)</f>
        <v>388.21337636526954</v>
      </c>
      <c r="V23" s="16"/>
    </row>
    <row r="24" spans="1:22" ht="20.100000000000001" customHeight="1" x14ac:dyDescent="0.25">
      <c r="A24" s="5" t="str">
        <f>HYPERLINK("#'Input - Solid waste'!A1", "Solid waste")</f>
        <v>Solid waste</v>
      </c>
      <c r="D24" s="15" t="str">
        <f>INDEX(X_Table_Dairy_ProductionSystems_Method1,4,1)</f>
        <v>Feed pad</v>
      </c>
      <c r="E24" s="15" t="str">
        <f>INDEX(X_Table_Dairy_Stage1MMS_2_SumpAndDispersal,2,1)</f>
        <v>Sump and dispersal system</v>
      </c>
      <c r="F24" s="15">
        <f>INDEX(M1_Table_MN_j_m,7,3)</f>
        <v>1292.1054203427104</v>
      </c>
      <c r="G24" s="15">
        <f>INDEX(M1_Table_MN_j_m,7,4)</f>
        <v>590.17648503003818</v>
      </c>
      <c r="H24" s="15">
        <f>INDEX(M1_Table_MN_j_m,7,5)</f>
        <v>235.06105261898415</v>
      </c>
      <c r="I24" s="15">
        <f>INDEX(M1_Table_MN_j_m,7,6)</f>
        <v>741.87518257630143</v>
      </c>
      <c r="J24" s="15">
        <f>INDEX(M1_Table_MN_j_m,7,7)</f>
        <v>310.57070109221564</v>
      </c>
      <c r="K24" s="16"/>
      <c r="O24" s="15" t="str">
        <f>INDEX(X_Table_Dairy_ProductionSystems_Method1,4,1)</f>
        <v>Feed pad</v>
      </c>
      <c r="P24" s="15" t="str">
        <f>INDEX(X_Table_Dairy_Stage1MMS_2_SumpAndDispersal,2,1)</f>
        <v>Sump and dispersal system</v>
      </c>
      <c r="Q24" s="15">
        <f>INDEX(M2_Table_MN_j_m,7,3)</f>
        <v>1292.1054203427104</v>
      </c>
      <c r="R24" s="15">
        <f>INDEX(M2_Table_MN_j_m,7,4)</f>
        <v>590.17648503003818</v>
      </c>
      <c r="S24" s="15">
        <f>INDEX(M2_Table_MN_j_m,7,5)</f>
        <v>235.06105261898415</v>
      </c>
      <c r="T24" s="15">
        <f>INDEX(M2_Table_MN_j_m,7,6)</f>
        <v>741.87518257630143</v>
      </c>
      <c r="U24" s="15">
        <f>INDEX(M2_Table_MN_j_m,7,7)</f>
        <v>310.57070109221564</v>
      </c>
      <c r="V24" s="16"/>
    </row>
    <row r="25" spans="1:22" ht="20.100000000000001" customHeight="1" x14ac:dyDescent="0.25">
      <c r="A25" s="5" t="str">
        <f>HYPERLINK("#'Input - Manure sent off-site'!A1", "Manure sent off-site")</f>
        <v>Manure sent off-site</v>
      </c>
      <c r="D25" s="15" t="str">
        <f>INDEX(X_Table_Dairy_ProductionSystems_Method1,4,1)</f>
        <v>Feed pad</v>
      </c>
      <c r="E25" s="15" t="str">
        <f>INDEX(X_Table_Dairy_Stage1MMS_2_DrainsToPaddock,2,1)</f>
        <v>Drains to paddock</v>
      </c>
      <c r="F25" s="15">
        <f>INDEX(M1_Table_MN_j_m,8,3)</f>
        <v>1292.1054203427104</v>
      </c>
      <c r="G25" s="15">
        <f>INDEX(M1_Table_MN_j_m,8,4)</f>
        <v>590.17648503003818</v>
      </c>
      <c r="H25" s="15">
        <f>INDEX(M1_Table_MN_j_m,8,5)</f>
        <v>235.06105261898415</v>
      </c>
      <c r="I25" s="15">
        <f>INDEX(M1_Table_MN_j_m,8,6)</f>
        <v>741.87518257630143</v>
      </c>
      <c r="J25" s="15">
        <f>INDEX(M1_Table_MN_j_m,8,7)</f>
        <v>310.57070109221564</v>
      </c>
      <c r="K25" s="16"/>
      <c r="O25" s="15" t="str">
        <f>INDEX(X_Table_Dairy_ProductionSystems_Method1,4,1)</f>
        <v>Feed pad</v>
      </c>
      <c r="P25" s="15" t="str">
        <f>INDEX(X_Table_Dairy_Stage1MMS_2_DrainsToPaddock,2,1)</f>
        <v>Drains to paddock</v>
      </c>
      <c r="Q25" s="15">
        <f>INDEX(M2_Table_MN_j_m,8,3)</f>
        <v>1292.1054203427104</v>
      </c>
      <c r="R25" s="15">
        <f>INDEX(M2_Table_MN_j_m,8,4)</f>
        <v>590.17648503003818</v>
      </c>
      <c r="S25" s="15">
        <f>INDEX(M2_Table_MN_j_m,8,5)</f>
        <v>235.06105261898415</v>
      </c>
      <c r="T25" s="15">
        <f>INDEX(M2_Table_MN_j_m,8,6)</f>
        <v>741.87518257630143</v>
      </c>
      <c r="U25" s="15">
        <f>INDEX(M2_Table_MN_j_m,8,7)</f>
        <v>310.57070109221564</v>
      </c>
      <c r="V25" s="16"/>
    </row>
    <row r="26" spans="1:22" ht="20.100000000000001" customHeight="1" x14ac:dyDescent="0.25">
      <c r="A26" s="5" t="str">
        <f>HYPERLINK("#'Input - Data quality'!A1", "Data quality")</f>
        <v>Data quality</v>
      </c>
      <c r="D26" s="15" t="str">
        <f>INDEX(X_Table_Dairy_ProductionSystems_Method1,4,1)</f>
        <v>Feed pad</v>
      </c>
      <c r="E26" s="15" t="s">
        <v>75</v>
      </c>
      <c r="F26" s="15">
        <f>INDEX(M1_Table_MN_j_m,9,3)</f>
        <v>2261.1844855997429</v>
      </c>
      <c r="G26" s="15">
        <f>INDEX(M1_Table_MN_j_m,9,4)</f>
        <v>1032.8088488025667</v>
      </c>
      <c r="H26" s="15">
        <f>INDEX(M1_Table_MN_j_m,9,5)</f>
        <v>411.35684208322226</v>
      </c>
      <c r="I26" s="15">
        <f>INDEX(M1_Table_MN_j_m,9,6)</f>
        <v>1298.2815695085274</v>
      </c>
      <c r="J26" s="15">
        <f>INDEX(M1_Table_MN_j_m,9,7)</f>
        <v>543.49872691137739</v>
      </c>
      <c r="K26" s="16"/>
      <c r="O26" s="15" t="str">
        <f>INDEX(X_Table_Dairy_ProductionSystems_Method1,4,1)</f>
        <v>Feed pad</v>
      </c>
      <c r="P26" s="15" t="s">
        <v>75</v>
      </c>
      <c r="Q26" s="15">
        <f>INDEX(M2_Table_MN_j_m,9,3)</f>
        <v>2261.1844855997429</v>
      </c>
      <c r="R26" s="15">
        <f>INDEX(M2_Table_MN_j_m,9,4)</f>
        <v>1032.8088488025667</v>
      </c>
      <c r="S26" s="15">
        <f>INDEX(M2_Table_MN_j_m,9,5)</f>
        <v>411.35684208322226</v>
      </c>
      <c r="T26" s="15">
        <f>INDEX(M2_Table_MN_j_m,9,6)</f>
        <v>1298.2815695085274</v>
      </c>
      <c r="U26" s="15">
        <f>INDEX(M2_Table_MN_j_m,9,7)</f>
        <v>543.49872691137739</v>
      </c>
      <c r="V26" s="16"/>
    </row>
    <row r="27" spans="1:22" ht="20.100000000000001" customHeight="1" x14ac:dyDescent="0.25"/>
    <row r="28" spans="1:22" ht="20.100000000000001" customHeight="1" x14ac:dyDescent="0.25">
      <c r="D28" s="121" t="s">
        <v>495</v>
      </c>
    </row>
    <row r="29" spans="1:22" ht="20.100000000000001" customHeight="1" x14ac:dyDescent="0.25">
      <c r="A29" s="6" t="s">
        <v>2</v>
      </c>
      <c r="D29" s="122" t="s">
        <v>496</v>
      </c>
    </row>
    <row r="30" spans="1:22" ht="20.100000000000001" customHeight="1" x14ac:dyDescent="0.25">
      <c r="A30" s="5" t="str">
        <f>HYPERLINK("#'3.3.1.1-2 Enteric Methane'!A1", "3.3.1.1-2 Enteric methane")</f>
        <v>3.3.1.1-2 Enteric methane</v>
      </c>
      <c r="D30" s="123" t="s">
        <v>388</v>
      </c>
      <c r="E30" s="123" t="s">
        <v>497</v>
      </c>
    </row>
    <row r="31" spans="1:22" ht="20.100000000000001" customHeight="1" x14ac:dyDescent="0.25">
      <c r="A31" s="5" t="str">
        <f>HYPERLINK("#'4.3.1.1-2 Methane'!A1", "4.3.1.1-2 Manure methane")</f>
        <v>4.3.1.1-2 Manure methane</v>
      </c>
      <c r="D31" s="15" t="str" cm="1">
        <f t="array" ref="D31:D35">Table_SourceData_Dairy_EFmFracGASM[NIR reference]</f>
        <v>Pasture range and paddock</v>
      </c>
      <c r="E31" s="15" cm="1">
        <f t="array" ref="E31:E35">Table_SourceData_Dairy_EFmFracGASM[FracGASMm]</f>
        <v>0</v>
      </c>
      <c r="F31" s="16" t="str">
        <f>G14</f>
        <v>fraction</v>
      </c>
    </row>
    <row r="32" spans="1:22" ht="20.100000000000001" customHeight="1" x14ac:dyDescent="0.25">
      <c r="A32" s="5" t="str">
        <f>HYPERLINK("#'4.3.1.3-4 Direct N20'!A1", "4.3.1.3-4 Direct N20")</f>
        <v>4.3.1.3-4 Direct N20</v>
      </c>
      <c r="D32" s="15" t="str">
        <v>Anaerobic lagoon</v>
      </c>
      <c r="E32" s="15">
        <v>0.35</v>
      </c>
      <c r="F32" s="16"/>
    </row>
    <row r="33" spans="1:22" ht="20.100000000000001" customHeight="1" x14ac:dyDescent="0.25">
      <c r="A33" s="118" t="str">
        <f>HYPERLINK("#'4.3.1.5 Atmos deposition'!A1", "4.3.1.5 Atmos deposition")</f>
        <v>4.3.1.5 Atmos deposition</v>
      </c>
      <c r="D33" s="15" t="str">
        <v>Sump and dispersal system</v>
      </c>
      <c r="E33" s="15">
        <v>7.0000000000000007E-2</v>
      </c>
      <c r="F33" s="16"/>
    </row>
    <row r="34" spans="1:22" ht="20.100000000000001" customHeight="1" x14ac:dyDescent="0.25">
      <c r="A34" s="5" t="str">
        <f>HYPERLINK("#'4.3.1.6-7 Leaching and runoff'!A1", "4.3.1.6-7 Leaching &amp; runoff")</f>
        <v>4.3.1.6-7 Leaching &amp; runoff</v>
      </c>
      <c r="D34" s="15" t="str">
        <v>Drains to paddock</v>
      </c>
      <c r="E34" s="15">
        <v>0.2</v>
      </c>
      <c r="F34" s="16"/>
    </row>
    <row r="35" spans="1:22" ht="20.100000000000001" customHeight="1" x14ac:dyDescent="0.25">
      <c r="A35" s="5" t="str">
        <f>HYPERLINK("#'4.3.1.8 Manure applied to soils'!A1", "4.3.1.8 Manure applied to soils")</f>
        <v>4.3.1.8 Manure applied to soils</v>
      </c>
      <c r="D35" s="15" t="str">
        <v>Solid storage</v>
      </c>
      <c r="E35" s="15">
        <v>0.3</v>
      </c>
      <c r="F35" s="16"/>
    </row>
    <row r="36" spans="1:22" ht="20.100000000000001" customHeight="1" x14ac:dyDescent="0.25">
      <c r="A36" s="5" t="str">
        <f>HYPERLINK("#'4.3.1.9 Soil direct N2O'!A1", "4.3.1.9 Soil direct N2O")</f>
        <v>4.3.1.9 Soil direct N2O</v>
      </c>
    </row>
    <row r="37" spans="1:22" ht="20.100000000000001" customHeight="1" x14ac:dyDescent="0.25">
      <c r="A37" s="5" t="str">
        <f>HYPERLINK("#'4.3.1.10-11 Soil Atmos Dep'!A1", "4.3.1.10-11 Soil Atmos Deposition")</f>
        <v>4.3.1.10-11 Soil Atmos Deposition</v>
      </c>
      <c r="D37" s="121" t="s">
        <v>498</v>
      </c>
      <c r="O37" s="121" t="s">
        <v>499</v>
      </c>
    </row>
    <row r="38" spans="1:22" ht="20.100000000000001" customHeight="1" x14ac:dyDescent="0.25">
      <c r="A38" s="5" t="str">
        <f>HYPERLINK("#'4.3.1.12-13 Soil leach runoff'!A1", "4.3.1.12-13 Soil leach &amp; runoff")</f>
        <v>4.3.1.12-13 Soil leach &amp; runoff</v>
      </c>
      <c r="D38" s="122" t="s">
        <v>500</v>
      </c>
      <c r="O38" s="122" t="s">
        <v>501</v>
      </c>
    </row>
    <row r="39" spans="1:22" ht="20.100000000000001" customHeight="1" x14ac:dyDescent="0.25">
      <c r="A39" s="5" t="str">
        <f>HYPERLINK("#'5.1.1.1-2 Inorganic fert N2O'!A1", "5.1.1.1-2 Inorganic fert N2O")</f>
        <v>5.1.1.1-2 Inorganic fert N2O</v>
      </c>
      <c r="D39" s="123" t="s">
        <v>161</v>
      </c>
      <c r="E39" s="123" t="s">
        <v>388</v>
      </c>
      <c r="F39" s="123" t="s">
        <v>295</v>
      </c>
      <c r="G39" s="123" t="s">
        <v>296</v>
      </c>
      <c r="H39" s="123" t="s">
        <v>297</v>
      </c>
      <c r="I39" s="123" t="s">
        <v>298</v>
      </c>
      <c r="J39" s="123" t="s">
        <v>299</v>
      </c>
      <c r="O39" s="123" t="s">
        <v>161</v>
      </c>
      <c r="P39" s="123" t="s">
        <v>388</v>
      </c>
      <c r="Q39" s="123" t="s">
        <v>295</v>
      </c>
      <c r="R39" s="123" t="s">
        <v>296</v>
      </c>
      <c r="S39" s="123" t="s">
        <v>297</v>
      </c>
      <c r="T39" s="123" t="s">
        <v>298</v>
      </c>
      <c r="U39" s="123" t="s">
        <v>299</v>
      </c>
    </row>
    <row r="40" spans="1:22" ht="20.100000000000001" customHeight="1" x14ac:dyDescent="0.25">
      <c r="A40" s="5" t="str">
        <f>HYPERLINK("#'5.1.1.3-4 Inorganic fert CO2'!A1", "5.1.1.3-4 Inorganic fert CO2")</f>
        <v>5.1.1.3-4 Inorganic fert CO2</v>
      </c>
      <c r="D40" s="15" t="str">
        <f>INDEX(X_Table_Dairy_ProductionSystems_Method1,3,1)</f>
        <v>Milking shed</v>
      </c>
      <c r="E40" s="15" t="str">
        <f>INDEX(X_Table_Dairy_Stage1MMS_1_AnaerobicLagoon,2,1)</f>
        <v>Anaerobic lagoon</v>
      </c>
      <c r="F40" s="15" cm="1">
        <f t="array" ref="F40">MMS_Dairy_AtmosphericDeposition_Equations.VEERG_4_3_1_5__2_TotalNitrogenVolatilisedFromMMS(F19,$E32)</f>
        <v>139.73611989661336</v>
      </c>
      <c r="G40" s="15" cm="1">
        <f t="array" ref="G40">MMS_Dairy_AtmosphericDeposition_Equations.VEERG_4_3_1_5__2_TotalNitrogenVolatilisedFromMMS(G19,$E32)</f>
        <v>63.825265937237269</v>
      </c>
      <c r="H40" s="15" cm="1">
        <f t="array" ref="H40">MMS_Dairy_AtmosphericDeposition_Equations.VEERG_4_3_1_5__2_TotalNitrogenVolatilisedFromMMS(H19,$E32)</f>
        <v>25.420928443345197</v>
      </c>
      <c r="I40" s="15" cm="1">
        <f t="array" ref="I40">MMS_Dairy_AtmosphericDeposition_Equations.VEERG_4_3_1_5__2_TotalNitrogenVolatilisedFromMMS(I19,$E32)</f>
        <v>80.230883508953951</v>
      </c>
      <c r="J40" s="15" cm="1">
        <f t="array" ref="J40">MMS_Dairy_AtmosphericDeposition_Equations.VEERG_4_3_1_5__2_TotalNitrogenVolatilisedFromMMS(J19,$E32)</f>
        <v>33.586999977669393</v>
      </c>
      <c r="K40" s="16" t="str">
        <f>$E$11</f>
        <v>kg N</v>
      </c>
      <c r="O40" s="15" t="str">
        <f>INDEX(X_Table_Dairy_ProductionSystems_Method1,3,1)</f>
        <v>Milking shed</v>
      </c>
      <c r="P40" s="15" t="str">
        <f>INDEX(X_Table_Dairy_Stage1MMS_1_AnaerobicLagoon,2,1)</f>
        <v>Anaerobic lagoon</v>
      </c>
      <c r="Q40" s="15" cm="1">
        <f t="array" ref="Q40">MMS_Dairy_AtmosphericDeposition_Equations.VEERG_4_3_1_5__2_TotalNitrogenVolatilisedFromMMS(Q19,$E32)</f>
        <v>139.73611989661336</v>
      </c>
      <c r="R40" s="15" cm="1">
        <f t="array" ref="R40">MMS_Dairy_AtmosphericDeposition_Equations.VEERG_4_3_1_5__2_TotalNitrogenVolatilisedFromMMS(R19,$E32)</f>
        <v>63.825265937237269</v>
      </c>
      <c r="S40" s="15" cm="1">
        <f t="array" ref="S40">MMS_Dairy_AtmosphericDeposition_Equations.VEERG_4_3_1_5__2_TotalNitrogenVolatilisedFromMMS(S19,$E32)</f>
        <v>25.420928443345197</v>
      </c>
      <c r="T40" s="15" cm="1">
        <f t="array" ref="T40">MMS_Dairy_AtmosphericDeposition_Equations.VEERG_4_3_1_5__2_TotalNitrogenVolatilisedFromMMS(T19,$E32)</f>
        <v>80.230883508953951</v>
      </c>
      <c r="U40" s="15" cm="1">
        <f t="array" ref="U40">MMS_Dairy_AtmosphericDeposition_Equations.VEERG_4_3_1_5__2_TotalNitrogenVolatilisedFromMMS(U19,$E32)</f>
        <v>33.586999977669393</v>
      </c>
      <c r="V40" s="16" t="str">
        <f>$E$11</f>
        <v>kg N</v>
      </c>
    </row>
    <row r="41" spans="1:22" ht="20.100000000000001" customHeight="1" x14ac:dyDescent="0.25">
      <c r="A41" s="5" t="str">
        <f>HYPERLINK("#'5.2.1.1-2 Organic Fert N2O'!A1", "5.2.1.1-2 Organic fert N2O")</f>
        <v>5.2.1.1-2 Organic fert N2O</v>
      </c>
      <c r="D41" s="15" t="str">
        <f>INDEX(X_Table_Dairy_ProductionSystems_Method1,3,1)</f>
        <v>Milking shed</v>
      </c>
      <c r="E41" s="15" t="str">
        <f>INDEX(X_Table_Dairy_Stage1MMS_1_SumpAndDispersal,2,1)</f>
        <v>Sump and dispersal system</v>
      </c>
      <c r="F41" s="15" cm="1">
        <f t="array" ref="F41">MMS_Dairy_AtmosphericDeposition_Equations.VEERG_4_3_1_5__2_TotalNitrogenVolatilisedFromMMS(F20,$E33)</f>
        <v>27.947223979322676</v>
      </c>
      <c r="G41" s="15" cm="1">
        <f t="array" ref="G41">MMS_Dairy_AtmosphericDeposition_Equations.VEERG_4_3_1_5__2_TotalNitrogenVolatilisedFromMMS(G20,$E33)</f>
        <v>12.765053187447457</v>
      </c>
      <c r="H41" s="15" cm="1">
        <f t="array" ref="H41">MMS_Dairy_AtmosphericDeposition_Equations.VEERG_4_3_1_5__2_TotalNitrogenVolatilisedFromMMS(H20,$E33)</f>
        <v>5.0841856886690397</v>
      </c>
      <c r="I41" s="15" cm="1">
        <f t="array" ref="I41">MMS_Dairy_AtmosphericDeposition_Equations.VEERG_4_3_1_5__2_TotalNitrogenVolatilisedFromMMS(I20,$E33)</f>
        <v>16.046176701790792</v>
      </c>
      <c r="J41" s="15" cm="1">
        <f t="array" ref="J41">MMS_Dairy_AtmosphericDeposition_Equations.VEERG_4_3_1_5__2_TotalNitrogenVolatilisedFromMMS(J20,$E33)</f>
        <v>6.7173999955338797</v>
      </c>
      <c r="K41" s="16"/>
      <c r="O41" s="15" t="str">
        <f>INDEX(X_Table_Dairy_ProductionSystems_Method1,3,1)</f>
        <v>Milking shed</v>
      </c>
      <c r="P41" s="15" t="str">
        <f>INDEX(X_Table_Dairy_Stage1MMS_1_SumpAndDispersal,2,1)</f>
        <v>Sump and dispersal system</v>
      </c>
      <c r="Q41" s="15" cm="1">
        <f t="array" ref="Q41">MMS_Dairy_AtmosphericDeposition_Equations.VEERG_4_3_1_5__2_TotalNitrogenVolatilisedFromMMS(Q20,$E33)</f>
        <v>27.947223979322676</v>
      </c>
      <c r="R41" s="15" cm="1">
        <f t="array" ref="R41">MMS_Dairy_AtmosphericDeposition_Equations.VEERG_4_3_1_5__2_TotalNitrogenVolatilisedFromMMS(R20,$E33)</f>
        <v>12.765053187447457</v>
      </c>
      <c r="S41" s="15" cm="1">
        <f t="array" ref="S41">MMS_Dairy_AtmosphericDeposition_Equations.VEERG_4_3_1_5__2_TotalNitrogenVolatilisedFromMMS(S20,$E33)</f>
        <v>5.0841856886690397</v>
      </c>
      <c r="T41" s="15" cm="1">
        <f t="array" ref="T41">MMS_Dairy_AtmosphericDeposition_Equations.VEERG_4_3_1_5__2_TotalNitrogenVolatilisedFromMMS(T20,$E33)</f>
        <v>16.046176701790792</v>
      </c>
      <c r="U41" s="15" cm="1">
        <f t="array" ref="U41">MMS_Dairy_AtmosphericDeposition_Equations.VEERG_4_3_1_5__2_TotalNitrogenVolatilisedFromMMS(U20,$E33)</f>
        <v>6.7173999955338797</v>
      </c>
      <c r="V41" s="16"/>
    </row>
    <row r="42" spans="1:22" ht="20.100000000000001" customHeight="1" x14ac:dyDescent="0.25">
      <c r="A42" s="5" t="str">
        <f>HYPERLINK("#'5.3.1.1-2 Lime CO2'!A1", "5.3.1.1-2 Lime CO2")</f>
        <v>5.3.1.1-2 Lime CO2</v>
      </c>
      <c r="D42" s="15" t="str">
        <f>INDEX(X_Table_Dairy_ProductionSystems_Method1,3,1)</f>
        <v>Milking shed</v>
      </c>
      <c r="E42" s="15" t="str">
        <f>INDEX(X_Table_Dairy_Stage1MMS_1_DrainsToPaddock,2,1)</f>
        <v>Drains to paddock</v>
      </c>
      <c r="F42" s="15" cm="1">
        <f t="array" ref="F42">MMS_Dairy_AtmosphericDeposition_Equations.VEERG_4_3_1_5__2_TotalNitrogenVolatilisedFromMMS(F21,$E34)</f>
        <v>79.849211369493361</v>
      </c>
      <c r="G42" s="15" cm="1">
        <f t="array" ref="G42">MMS_Dairy_AtmosphericDeposition_Equations.VEERG_4_3_1_5__2_TotalNitrogenVolatilisedFromMMS(G21,$E34)</f>
        <v>36.471580535564158</v>
      </c>
      <c r="H42" s="15" cm="1">
        <f t="array" ref="H42">MMS_Dairy_AtmosphericDeposition_Equations.VEERG_4_3_1_5__2_TotalNitrogenVolatilisedFromMMS(H21,$E34)</f>
        <v>14.526244824768686</v>
      </c>
      <c r="I42" s="15" cm="1">
        <f t="array" ref="I42">MMS_Dairy_AtmosphericDeposition_Equations.VEERG_4_3_1_5__2_TotalNitrogenVolatilisedFromMMS(I21,$E34)</f>
        <v>45.846219147973692</v>
      </c>
      <c r="J42" s="15" cm="1">
        <f t="array" ref="J42">MMS_Dairy_AtmosphericDeposition_Equations.VEERG_4_3_1_5__2_TotalNitrogenVolatilisedFromMMS(J21,$E34)</f>
        <v>19.192571415811084</v>
      </c>
      <c r="K42" s="16"/>
      <c r="O42" s="15" t="str">
        <f>INDEX(X_Table_Dairy_ProductionSystems_Method1,3,1)</f>
        <v>Milking shed</v>
      </c>
      <c r="P42" s="15" t="str">
        <f>INDEX(X_Table_Dairy_Stage1MMS_1_DrainsToPaddock,2,1)</f>
        <v>Drains to paddock</v>
      </c>
      <c r="Q42" s="15" cm="1">
        <f t="array" ref="Q42">MMS_Dairy_AtmosphericDeposition_Equations.VEERG_4_3_1_5__2_TotalNitrogenVolatilisedFromMMS(Q21,$E34)</f>
        <v>79.849211369493361</v>
      </c>
      <c r="R42" s="15" cm="1">
        <f t="array" ref="R42">MMS_Dairy_AtmosphericDeposition_Equations.VEERG_4_3_1_5__2_TotalNitrogenVolatilisedFromMMS(R21,$E34)</f>
        <v>36.471580535564158</v>
      </c>
      <c r="S42" s="15" cm="1">
        <f t="array" ref="S42">MMS_Dairy_AtmosphericDeposition_Equations.VEERG_4_3_1_5__2_TotalNitrogenVolatilisedFromMMS(S21,$E34)</f>
        <v>14.526244824768686</v>
      </c>
      <c r="T42" s="15" cm="1">
        <f t="array" ref="T42">MMS_Dairy_AtmosphericDeposition_Equations.VEERG_4_3_1_5__2_TotalNitrogenVolatilisedFromMMS(T21,$E34)</f>
        <v>45.846219147973692</v>
      </c>
      <c r="U42" s="15" cm="1">
        <f t="array" ref="U42">MMS_Dairy_AtmosphericDeposition_Equations.VEERG_4_3_1_5__2_TotalNitrogenVolatilisedFromMMS(U21,$E34)</f>
        <v>19.192571415811084</v>
      </c>
      <c r="V42" s="16"/>
    </row>
    <row r="43" spans="1:22" ht="20.100000000000001" customHeight="1" x14ac:dyDescent="0.25">
      <c r="A43" s="5" t="str">
        <f>HYPERLINK("#'5.4.1.1-4 Atmos deposition'!A1", "5.4.1.1-4 Atmos. deposition")</f>
        <v>5.4.1.1-4 Atmos. deposition</v>
      </c>
      <c r="D43" s="15" t="str">
        <f>INDEX(X_Table_Dairy_ProductionSystems_Method1,3,1)</f>
        <v>Milking shed</v>
      </c>
      <c r="E43" s="15" t="s">
        <v>75</v>
      </c>
      <c r="F43" s="15" cm="1">
        <f t="array" ref="F43">MMS_Dairy_AtmosphericDeposition_Equations.VEERG_4_3_1_5__2_TotalNitrogenVolatilisedFromMMS(F22,$E35)</f>
        <v>239.54763410848</v>
      </c>
      <c r="G43" s="15" cm="1">
        <f t="array" ref="G43">MMS_Dairy_AtmosphericDeposition_Equations.VEERG_4_3_1_5__2_TotalNitrogenVolatilisedFromMMS(G22,$E35)</f>
        <v>109.41474160669246</v>
      </c>
      <c r="H43" s="15" cm="1">
        <f t="array" ref="H43">MMS_Dairy_AtmosphericDeposition_Equations.VEERG_4_3_1_5__2_TotalNitrogenVolatilisedFromMMS(H22,$E35)</f>
        <v>43.578734474306046</v>
      </c>
      <c r="I43" s="15" cm="1">
        <f t="array" ref="I43">MMS_Dairy_AtmosphericDeposition_Equations.VEERG_4_3_1_5__2_TotalNitrogenVolatilisedFromMMS(I22,$E35)</f>
        <v>137.53865744392104</v>
      </c>
      <c r="J43" s="15" cm="1">
        <f t="array" ref="J43">MMS_Dairy_AtmosphericDeposition_Equations.VEERG_4_3_1_5__2_TotalNitrogenVolatilisedFromMMS(J22,$E35)</f>
        <v>57.577714247433235</v>
      </c>
      <c r="K43" s="16"/>
      <c r="O43" s="15" t="str">
        <f>INDEX(X_Table_Dairy_ProductionSystems_Method1,3,1)</f>
        <v>Milking shed</v>
      </c>
      <c r="P43" s="15" t="s">
        <v>75</v>
      </c>
      <c r="Q43" s="15" cm="1">
        <f t="array" ref="Q43">MMS_Dairy_AtmosphericDeposition_Equations.VEERG_4_3_1_5__2_TotalNitrogenVolatilisedFromMMS(Q22,$E35)</f>
        <v>239.54763410848</v>
      </c>
      <c r="R43" s="15" cm="1">
        <f t="array" ref="R43">MMS_Dairy_AtmosphericDeposition_Equations.VEERG_4_3_1_5__2_TotalNitrogenVolatilisedFromMMS(R22,$E35)</f>
        <v>109.41474160669246</v>
      </c>
      <c r="S43" s="15" cm="1">
        <f t="array" ref="S43">MMS_Dairy_AtmosphericDeposition_Equations.VEERG_4_3_1_5__2_TotalNitrogenVolatilisedFromMMS(S22,$E35)</f>
        <v>43.578734474306046</v>
      </c>
      <c r="T43" s="15" cm="1">
        <f t="array" ref="T43">MMS_Dairy_AtmosphericDeposition_Equations.VEERG_4_3_1_5__2_TotalNitrogenVolatilisedFromMMS(T22,$E35)</f>
        <v>137.53865744392104</v>
      </c>
      <c r="U43" s="15" cm="1">
        <f t="array" ref="U43">MMS_Dairy_AtmosphericDeposition_Equations.VEERG_4_3_1_5__2_TotalNitrogenVolatilisedFromMMS(U22,$E35)</f>
        <v>57.577714247433235</v>
      </c>
      <c r="V43" s="16"/>
    </row>
    <row r="44" spans="1:22" ht="20.100000000000001" customHeight="1" x14ac:dyDescent="0.25">
      <c r="A44" s="5" t="str">
        <f>HYPERLINK("#'5.5.1.1-2 Leaching and runoff'!A1", "5.5.1.1-2 Leaching &amp; runoff")</f>
        <v>5.5.1.1-2 Leaching &amp; runoff</v>
      </c>
      <c r="D44" s="15" t="str">
        <f>INDEX(X_Table_Dairy_ProductionSystems_Method1,4,1)</f>
        <v>Feed pad</v>
      </c>
      <c r="E44" s="15" t="str">
        <f>INDEX(X_Table_Dairy_Stage1MMS_2_AnaerobicLagoon,2,1)</f>
        <v>Anaerobic lagoon</v>
      </c>
      <c r="F44" s="15" cm="1">
        <f t="array" ref="F44">MMS_Dairy_AtmosphericDeposition_Equations.VEERG_4_3_1_5__2_TotalNitrogenVolatilisedFromMMS(F23, $E32)</f>
        <v>565.29612139993571</v>
      </c>
      <c r="G44" s="15" cm="1">
        <f t="array" ref="G44">MMS_Dairy_AtmosphericDeposition_Equations.VEERG_4_3_1_5__2_TotalNitrogenVolatilisedFromMMS(G23, $E32)</f>
        <v>258.20221220064167</v>
      </c>
      <c r="H44" s="15" cm="1">
        <f t="array" ref="H44">MMS_Dairy_AtmosphericDeposition_Equations.VEERG_4_3_1_5__2_TotalNitrogenVolatilisedFromMMS(H23, $E32)</f>
        <v>102.83921052080557</v>
      </c>
      <c r="I44" s="15" cm="1">
        <f t="array" ref="I44">MMS_Dairy_AtmosphericDeposition_Equations.VEERG_4_3_1_5__2_TotalNitrogenVolatilisedFromMMS(I23, $E32)</f>
        <v>324.57039237713184</v>
      </c>
      <c r="J44" s="15" cm="1">
        <f t="array" ref="J44">MMS_Dairy_AtmosphericDeposition_Equations.VEERG_4_3_1_5__2_TotalNitrogenVolatilisedFromMMS(J23, $E32)</f>
        <v>135.87468172784432</v>
      </c>
      <c r="K44" s="16"/>
      <c r="O44" s="15" t="str">
        <f>INDEX(X_Table_Dairy_ProductionSystems_Method1,4,1)</f>
        <v>Feed pad</v>
      </c>
      <c r="P44" s="15" t="str">
        <f>INDEX(X_Table_Dairy_Stage1MMS_2_AnaerobicLagoon,2,1)</f>
        <v>Anaerobic lagoon</v>
      </c>
      <c r="Q44" s="15" cm="1">
        <f t="array" ref="Q44">MMS_Dairy_AtmosphericDeposition_Equations.VEERG_4_3_1_5__2_TotalNitrogenVolatilisedFromMMS(Q23, $E32)</f>
        <v>565.29612139993571</v>
      </c>
      <c r="R44" s="15" cm="1">
        <f t="array" ref="R44">MMS_Dairy_AtmosphericDeposition_Equations.VEERG_4_3_1_5__2_TotalNitrogenVolatilisedFromMMS(R23, $E32)</f>
        <v>258.20221220064167</v>
      </c>
      <c r="S44" s="15" cm="1">
        <f t="array" ref="S44">MMS_Dairy_AtmosphericDeposition_Equations.VEERG_4_3_1_5__2_TotalNitrogenVolatilisedFromMMS(S23, $E32)</f>
        <v>102.83921052080557</v>
      </c>
      <c r="T44" s="15" cm="1">
        <f t="array" ref="T44">MMS_Dairy_AtmosphericDeposition_Equations.VEERG_4_3_1_5__2_TotalNitrogenVolatilisedFromMMS(T23, $E32)</f>
        <v>324.57039237713184</v>
      </c>
      <c r="U44" s="15" cm="1">
        <f t="array" ref="U44">MMS_Dairy_AtmosphericDeposition_Equations.VEERG_4_3_1_5__2_TotalNitrogenVolatilisedFromMMS(U23, $E32)</f>
        <v>135.87468172784432</v>
      </c>
      <c r="V44" s="16"/>
    </row>
    <row r="45" spans="1:22" ht="20.100000000000001" customHeight="1" x14ac:dyDescent="0.25">
      <c r="A45" s="5" t="str">
        <f>HYPERLINK("#'6.2.1.1-2 Pasture residue N2O'!A1", "6.2.1.1-2 Pasture residue N2O")</f>
        <v>6.2.1.1-2 Pasture residue N2O</v>
      </c>
      <c r="D45" s="15" t="str">
        <f>INDEX(X_Table_Dairy_ProductionSystems_Method1,4,1)</f>
        <v>Feed pad</v>
      </c>
      <c r="E45" s="15" t="str">
        <f>INDEX(X_Table_Dairy_Stage1MMS_2_SumpAndDispersal,2,1)</f>
        <v>Sump and dispersal system</v>
      </c>
      <c r="F45" s="15" cm="1">
        <f t="array" ref="F45">MMS_Dairy_AtmosphericDeposition_Equations.VEERG_4_3_1_5__2_TotalNitrogenVolatilisedFromMMS(F24, $E33)</f>
        <v>90.447379423989744</v>
      </c>
      <c r="G45" s="15" cm="1">
        <f t="array" ref="G45">MMS_Dairy_AtmosphericDeposition_Equations.VEERG_4_3_1_5__2_TotalNitrogenVolatilisedFromMMS(G24, $E33)</f>
        <v>41.312353952102676</v>
      </c>
      <c r="H45" s="15" cm="1">
        <f t="array" ref="H45">MMS_Dairy_AtmosphericDeposition_Equations.VEERG_4_3_1_5__2_TotalNitrogenVolatilisedFromMMS(H24, $E33)</f>
        <v>16.454273683328893</v>
      </c>
      <c r="I45" s="15" cm="1">
        <f t="array" ref="I45">MMS_Dairy_AtmosphericDeposition_Equations.VEERG_4_3_1_5__2_TotalNitrogenVolatilisedFromMMS(I24, $E33)</f>
        <v>51.931262780341108</v>
      </c>
      <c r="J45" s="15" cm="1">
        <f t="array" ref="J45">MMS_Dairy_AtmosphericDeposition_Equations.VEERG_4_3_1_5__2_TotalNitrogenVolatilisedFromMMS(J24, $E33)</f>
        <v>21.739949076455098</v>
      </c>
      <c r="K45" s="16"/>
      <c r="O45" s="15" t="str">
        <f>INDEX(X_Table_Dairy_ProductionSystems_Method1,4,1)</f>
        <v>Feed pad</v>
      </c>
      <c r="P45" s="15" t="str">
        <f>INDEX(X_Table_Dairy_Stage1MMS_2_SumpAndDispersal,2,1)</f>
        <v>Sump and dispersal system</v>
      </c>
      <c r="Q45" s="15" cm="1">
        <f t="array" ref="Q45">MMS_Dairy_AtmosphericDeposition_Equations.VEERG_4_3_1_5__2_TotalNitrogenVolatilisedFromMMS(Q24, $E33)</f>
        <v>90.447379423989744</v>
      </c>
      <c r="R45" s="15" cm="1">
        <f t="array" ref="R45">MMS_Dairy_AtmosphericDeposition_Equations.VEERG_4_3_1_5__2_TotalNitrogenVolatilisedFromMMS(R24, $E33)</f>
        <v>41.312353952102676</v>
      </c>
      <c r="S45" s="15" cm="1">
        <f t="array" ref="S45">MMS_Dairy_AtmosphericDeposition_Equations.VEERG_4_3_1_5__2_TotalNitrogenVolatilisedFromMMS(S24, $E33)</f>
        <v>16.454273683328893</v>
      </c>
      <c r="T45" s="15" cm="1">
        <f t="array" ref="T45">MMS_Dairy_AtmosphericDeposition_Equations.VEERG_4_3_1_5__2_TotalNitrogenVolatilisedFromMMS(T24, $E33)</f>
        <v>51.931262780341108</v>
      </c>
      <c r="U45" s="15" cm="1">
        <f t="array" ref="U45">MMS_Dairy_AtmosphericDeposition_Equations.VEERG_4_3_1_5__2_TotalNitrogenVolatilisedFromMMS(U24, $E33)</f>
        <v>21.739949076455098</v>
      </c>
      <c r="V45" s="16"/>
    </row>
    <row r="46" spans="1:22" ht="20.100000000000001" customHeight="1" x14ac:dyDescent="0.25">
      <c r="A46" s="5" t="str">
        <f>HYPERLINK("#'6.3.1.1-2 Leach runoff pasture'!A1", "6.3.1.1-2 Leach &amp; runoff (pasture)")</f>
        <v>6.3.1.1-2 Leach &amp; runoff (pasture)</v>
      </c>
      <c r="D46" s="15" t="str">
        <f>INDEX(X_Table_Dairy_ProductionSystems_Method1,4,1)</f>
        <v>Feed pad</v>
      </c>
      <c r="E46" s="15" t="str">
        <f>INDEX(X_Table_Dairy_Stage1MMS_2_DrainsToPaddock,2,1)</f>
        <v>Drains to paddock</v>
      </c>
      <c r="F46" s="15" cm="1">
        <f t="array" ref="F46">MMS_Dairy_AtmosphericDeposition_Equations.VEERG_4_3_1_5__2_TotalNitrogenVolatilisedFromMMS(F25, $E34)</f>
        <v>258.42108406854209</v>
      </c>
      <c r="G46" s="15" cm="1">
        <f t="array" ref="G46">MMS_Dairy_AtmosphericDeposition_Equations.VEERG_4_3_1_5__2_TotalNitrogenVolatilisedFromMMS(G25, $E34)</f>
        <v>118.03529700600764</v>
      </c>
      <c r="H46" s="15" cm="1">
        <f t="array" ref="H46">MMS_Dairy_AtmosphericDeposition_Equations.VEERG_4_3_1_5__2_TotalNitrogenVolatilisedFromMMS(H25, $E34)</f>
        <v>47.012210523796831</v>
      </c>
      <c r="I46" s="15" cm="1">
        <f t="array" ref="I46">MMS_Dairy_AtmosphericDeposition_Equations.VEERG_4_3_1_5__2_TotalNitrogenVolatilisedFromMMS(I25, $E34)</f>
        <v>148.37503651526029</v>
      </c>
      <c r="J46" s="15" cm="1">
        <f t="array" ref="J46">MMS_Dairy_AtmosphericDeposition_Equations.VEERG_4_3_1_5__2_TotalNitrogenVolatilisedFromMMS(J25, $E34)</f>
        <v>62.114140218443133</v>
      </c>
      <c r="K46" s="16"/>
      <c r="O46" s="15" t="str">
        <f>INDEX(X_Table_Dairy_ProductionSystems_Method1,4,1)</f>
        <v>Feed pad</v>
      </c>
      <c r="P46" s="15" t="str">
        <f>INDEX(X_Table_Dairy_Stage1MMS_2_DrainsToPaddock,2,1)</f>
        <v>Drains to paddock</v>
      </c>
      <c r="Q46" s="15" cm="1">
        <f t="array" ref="Q46">MMS_Dairy_AtmosphericDeposition_Equations.VEERG_4_3_1_5__2_TotalNitrogenVolatilisedFromMMS(Q25, $E34)</f>
        <v>258.42108406854209</v>
      </c>
      <c r="R46" s="15" cm="1">
        <f t="array" ref="R46">MMS_Dairy_AtmosphericDeposition_Equations.VEERG_4_3_1_5__2_TotalNitrogenVolatilisedFromMMS(R25, $E34)</f>
        <v>118.03529700600764</v>
      </c>
      <c r="S46" s="15" cm="1">
        <f t="array" ref="S46">MMS_Dairy_AtmosphericDeposition_Equations.VEERG_4_3_1_5__2_TotalNitrogenVolatilisedFromMMS(S25, $E34)</f>
        <v>47.012210523796831</v>
      </c>
      <c r="T46" s="15" cm="1">
        <f t="array" ref="T46">MMS_Dairy_AtmosphericDeposition_Equations.VEERG_4_3_1_5__2_TotalNitrogenVolatilisedFromMMS(T25, $E34)</f>
        <v>148.37503651526029</v>
      </c>
      <c r="U46" s="15" cm="1">
        <f t="array" ref="U46">MMS_Dairy_AtmosphericDeposition_Equations.VEERG_4_3_1_5__2_TotalNitrogenVolatilisedFromMMS(U25, $E34)</f>
        <v>62.114140218443133</v>
      </c>
      <c r="V46" s="16"/>
    </row>
    <row r="47" spans="1:22" ht="20.100000000000001" customHeight="1" x14ac:dyDescent="0.25">
      <c r="A47" s="5" t="str">
        <f>HYPERLINK("#'8.1.1.1-2 Transport fuel'!A1", "8.1.1.1-2 Transport fuel")</f>
        <v>8.1.1.1-2 Transport fuel</v>
      </c>
      <c r="D47" s="15" t="str">
        <f>INDEX(X_Table_Dairy_ProductionSystems_Method1,4,1)</f>
        <v>Feed pad</v>
      </c>
      <c r="E47" s="15" t="s">
        <v>75</v>
      </c>
      <c r="F47" s="15" cm="1">
        <f t="array" ref="F47">MMS_Dairy_AtmosphericDeposition_Equations.VEERG_4_3_1_5__2_TotalNitrogenVolatilisedFromMMS(F26, $E35)</f>
        <v>678.35534567992283</v>
      </c>
      <c r="G47" s="15" cm="1">
        <f t="array" ref="G47">MMS_Dairy_AtmosphericDeposition_Equations.VEERG_4_3_1_5__2_TotalNitrogenVolatilisedFromMMS(G26, $E35)</f>
        <v>309.84265464076998</v>
      </c>
      <c r="H47" s="15" cm="1">
        <f t="array" ref="H47">MMS_Dairy_AtmosphericDeposition_Equations.VEERG_4_3_1_5__2_TotalNitrogenVolatilisedFromMMS(H26, $E35)</f>
        <v>123.40705262496667</v>
      </c>
      <c r="I47" s="15" cm="1">
        <f t="array" ref="I47">MMS_Dairy_AtmosphericDeposition_Equations.VEERG_4_3_1_5__2_TotalNitrogenVolatilisedFromMMS(I26, $E35)</f>
        <v>389.48447085255822</v>
      </c>
      <c r="J47" s="15" cm="1">
        <f t="array" ref="J47">MMS_Dairy_AtmosphericDeposition_Equations.VEERG_4_3_1_5__2_TotalNitrogenVolatilisedFromMMS(J26, $E35)</f>
        <v>163.0496180734132</v>
      </c>
      <c r="K47" s="16"/>
      <c r="O47" s="15" t="str">
        <f>INDEX(X_Table_Dairy_ProductionSystems_Method1,4,1)</f>
        <v>Feed pad</v>
      </c>
      <c r="P47" s="15" t="s">
        <v>75</v>
      </c>
      <c r="Q47" s="15" cm="1">
        <f t="array" ref="Q47">MMS_Dairy_AtmosphericDeposition_Equations.VEERG_4_3_1_5__2_TotalNitrogenVolatilisedFromMMS(Q26, $E35)</f>
        <v>678.35534567992283</v>
      </c>
      <c r="R47" s="15" cm="1">
        <f t="array" ref="R47">MMS_Dairy_AtmosphericDeposition_Equations.VEERG_4_3_1_5__2_TotalNitrogenVolatilisedFromMMS(R26, $E35)</f>
        <v>309.84265464076998</v>
      </c>
      <c r="S47" s="15" cm="1">
        <f t="array" ref="S47">MMS_Dairy_AtmosphericDeposition_Equations.VEERG_4_3_1_5__2_TotalNitrogenVolatilisedFromMMS(S26, $E35)</f>
        <v>123.40705262496667</v>
      </c>
      <c r="T47" s="15" cm="1">
        <f t="array" ref="T47">MMS_Dairy_AtmosphericDeposition_Equations.VEERG_4_3_1_5__2_TotalNitrogenVolatilisedFromMMS(T26, $E35)</f>
        <v>389.48447085255822</v>
      </c>
      <c r="U47" s="15" cm="1">
        <f t="array" ref="U47">MMS_Dairy_AtmosphericDeposition_Equations.VEERG_4_3_1_5__2_TotalNitrogenVolatilisedFromMMS(U26, $E35)</f>
        <v>163.0496180734132</v>
      </c>
      <c r="V47" s="16"/>
    </row>
    <row r="48" spans="1:22" ht="20.100000000000001" customHeight="1" x14ac:dyDescent="0.25">
      <c r="A48" s="5" t="str">
        <f>HYPERLINK("#'8.2.1.1-2 Stationary fuel'!A1", "8.2.1.1-2 Stationary fuel")</f>
        <v>8.2.1.1-2 Stationary fuel</v>
      </c>
    </row>
    <row r="49" spans="1:23" ht="20.100000000000001" customHeight="1" x14ac:dyDescent="0.25">
      <c r="A49" s="5" t="str">
        <f>HYPERLINK("#'10.1.1-2 Solid waste treatment'!A1", "10.1.1.1-2 Solid waste")</f>
        <v>10.1.1.1-2 Solid waste</v>
      </c>
      <c r="D49" s="93" t="s">
        <v>502</v>
      </c>
      <c r="E49" s="89">
        <f>SUM(F40:J47)</f>
        <v>5101.668293837286</v>
      </c>
      <c r="F49" s="94" t="str">
        <f>$E$11</f>
        <v>kg N</v>
      </c>
      <c r="O49" s="93" t="s">
        <v>502</v>
      </c>
      <c r="P49" s="89">
        <f>SUM(Q40:U47)</f>
        <v>5101.668293837286</v>
      </c>
      <c r="Q49" s="94" t="str">
        <f>$E$11</f>
        <v>kg N</v>
      </c>
    </row>
    <row r="50" spans="1:23" ht="20.100000000000001" customHeight="1" x14ac:dyDescent="0.25">
      <c r="A50" s="5" t="str">
        <f>HYPERLINK("#'14.1.1-2 Purchased electricity'!A1", "14.1.1-2 Purchased electricity")</f>
        <v>14.1.1-2 Purchased electricity</v>
      </c>
    </row>
    <row r="51" spans="1:23" ht="20.100000000000001" customHeight="1" x14ac:dyDescent="0.25">
      <c r="A51" s="5" t="str">
        <f>HYPERLINK("#'15 Scope 3'!A1", "15 Scope 3")</f>
        <v>15 Scope 3</v>
      </c>
    </row>
    <row r="52" spans="1:23" ht="20.100000000000001" customHeight="1" x14ac:dyDescent="0.25">
      <c r="A52" s="5" t="str">
        <f>HYPERLINK("#'Calcs - Manure sent off-site'!A1", "Calcs - Manure sent off-site")</f>
        <v>Calcs - Manure sent off-site</v>
      </c>
      <c r="C52" s="89"/>
      <c r="D52" s="89"/>
      <c r="E52" s="89"/>
      <c r="F52" s="89"/>
      <c r="G52" s="89"/>
      <c r="H52" s="89"/>
      <c r="I52" s="89"/>
      <c r="J52" s="89"/>
      <c r="K52" s="89"/>
      <c r="L52" s="89"/>
      <c r="N52" s="89"/>
      <c r="O52" s="89"/>
      <c r="P52" s="89"/>
      <c r="Q52" s="89"/>
      <c r="R52" s="89"/>
      <c r="S52" s="89"/>
      <c r="T52" s="89"/>
      <c r="U52" s="89"/>
      <c r="V52" s="89"/>
      <c r="W52" s="89"/>
    </row>
    <row r="53" spans="1:23" ht="20.100000000000001" customHeight="1" x14ac:dyDescent="0.25">
      <c r="D53" s="2" t="str" cm="1">
        <f t="array" ref="D53">MMS_Dairy_AtmosphericDeposition_Equations.VEERG_4_3_1_5__1_AnnualAtmosphericDepositionEmissionsFromMMS_Title()</f>
        <v>Annual atmospheric deposition emissions from MMS</v>
      </c>
    </row>
    <row r="54" spans="1:23" ht="20.100000000000001" customHeight="1" x14ac:dyDescent="0.25">
      <c r="D54" s="17" t="str" cm="1">
        <f t="array" ref="D54">MMS_Dairy_AtmosphericDeposition_Equations.VEERG_4_3_1_5__1_AnnualAtmosphericDepositionEmissionsFromMMS_Source()</f>
        <v>VEERG 2026: 4.3.1.5, Equation (1)</v>
      </c>
    </row>
    <row r="55" spans="1:23" ht="20.100000000000001" customHeight="1" x14ac:dyDescent="0.25">
      <c r="A55" s="83" t="s">
        <v>1</v>
      </c>
      <c r="D55" s="117" t="s">
        <v>343</v>
      </c>
      <c r="E55" s="117" t="str">
        <f ca="1">Common_InputFunctions.Utility_DisplayFunctionName(VEERG_4_3_1_5__1_AnnualAtmosphericDepositionEmissionsFromMMS_Result_Method1)</f>
        <v>=MMS_Dairy_AtmosphericDeposition_Equations.VEERG_4_3_1_5__1_AnnualAtmosphericDepositionEmissionsFromMMS</v>
      </c>
    </row>
    <row r="56" spans="1:23" ht="20.100000000000001" customHeight="1" x14ac:dyDescent="0.25">
      <c r="A56" s="5" t="str">
        <f>HYPERLINK("#'Constants - Dairy'!A1", "Constants - Dairy")</f>
        <v>Constants - Dairy</v>
      </c>
    </row>
    <row r="57" spans="1:23" ht="20.100000000000001" customHeight="1" x14ac:dyDescent="0.25">
      <c r="A57" s="5" t="str">
        <f>HYPERLINK("#'Constants - Ag Residue'!A1", "Constants - Ag residue")</f>
        <v>Constants - Ag residue</v>
      </c>
      <c r="D57" s="2"/>
      <c r="H57" s="1" t="s">
        <v>503</v>
      </c>
    </row>
    <row r="58" spans="1:23" ht="20.100000000000001" customHeight="1" x14ac:dyDescent="0.25">
      <c r="A58" s="5" t="str">
        <f>HYPERLINK("#'Constants - Common Livestock'!A1", "Constants - Common Livestock")</f>
        <v>Constants - Common Livestock</v>
      </c>
      <c r="D58" s="76" t="s">
        <v>344</v>
      </c>
      <c r="E58" s="1" t="str" cm="1">
        <f t="array" ref="E58">MMS_Dairy_AtmosphericDeposition_Equations.VEERG_4_3_1_5__1_AnnualAtmosphericDepositionEmissionsFromMMS_Variable()</f>
        <v>E_N2OMMSad</v>
      </c>
    </row>
    <row r="59" spans="1:23" ht="20.100000000000001" customHeight="1" x14ac:dyDescent="0.25">
      <c r="A59" s="5" t="str">
        <f>HYPERLINK("#'Constants - Electricity'!A1", "Constants - Electricity")</f>
        <v>Constants - Electricity</v>
      </c>
      <c r="D59" s="76" t="s">
        <v>118</v>
      </c>
      <c r="E59" s="9" t="str" cm="1">
        <f t="array" ref="E59">MMS_Dairy_AtmosphericDeposition_Equations.VEERG_4_3_1_5__1_AnnualAtmosphericDepositionEmissionsFromMMS_Unit()</f>
        <v>t N2O</v>
      </c>
    </row>
    <row r="60" spans="1:23" ht="20.100000000000001" customHeight="1" x14ac:dyDescent="0.25">
      <c r="A60" s="5" t="str">
        <f>HYPERLINK("#'Constants - Fertiliser'!A1", "Constants - Fertiliser")</f>
        <v>Constants - Fertiliser</v>
      </c>
    </row>
    <row r="61" spans="1:23" ht="20.100000000000001" customHeight="1" x14ac:dyDescent="0.25">
      <c r="A61" s="5" t="str">
        <f>HYPERLINK("#'Constants - Fuel'!A1", "Constants - Fuel")</f>
        <v>Constants - Fuel</v>
      </c>
      <c r="D61" s="119" t="str" cm="1">
        <f t="array" ref="D61:E66">_xlfn.CHOOSECOLS(MMS_Dairy_AtmosphericDeposition_Equations.VEERG_4_3_1_5__1_AnnualAtmosphericDepositionEmissionsFromMMS_Arguments(),1,2)</f>
        <v>MN_ATMOS</v>
      </c>
      <c r="E61" s="124" t="str">
        <v>mass of N volatilised from MMS</v>
      </c>
      <c r="F61" s="125"/>
      <c r="G61" s="119" t="str" cm="1">
        <f t="array" ref="G61:H66">_xlfn.CHOOSECOLS(MMS_Dairy_AtmosphericDeposition_Equations.VEERG_4_3_1_5__1_AnnualAtmosphericDepositionEmissionsFromMMS_Arguments(),3,4)</f>
        <v>kg N</v>
      </c>
      <c r="H61" s="127" t="str">
        <v>Calculated from 4.3.1.5 (2)</v>
      </c>
      <c r="I61" s="119">
        <f>$E$49</f>
        <v>5101.668293837286</v>
      </c>
      <c r="O61" s="131" t="str">
        <f>D61</f>
        <v>MN_ATMOS</v>
      </c>
      <c r="P61" s="134" t="str">
        <f>E61</f>
        <v>mass of N volatilised from MMS</v>
      </c>
      <c r="Q61" s="137"/>
      <c r="R61" s="131">
        <f>$P$49</f>
        <v>5101.668293837286</v>
      </c>
    </row>
    <row r="62" spans="1:23" ht="20.100000000000001" customHeight="1" x14ac:dyDescent="0.25">
      <c r="A62" s="5" t="str">
        <f>HYPERLINK("#'Constants - Scope 3'!A1", "Constants - Scope 3")</f>
        <v>Constants - Scope 3</v>
      </c>
      <c r="D62" s="119" t="str">
        <v>EF_N2O</v>
      </c>
      <c r="E62" s="124" t="str">
        <v>nitrous oxide emission factor for atmospheric deposition</v>
      </c>
      <c r="F62" s="125"/>
      <c r="G62" s="119" t="str">
        <v>kg N2O-N/kg N</v>
      </c>
      <c r="H62" s="127" t="str">
        <v>Constant</v>
      </c>
      <c r="I62" s="119">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131"/>
      <c r="P62" s="134"/>
      <c r="Q62" s="137"/>
      <c r="R62" s="131"/>
    </row>
    <row r="63" spans="1:23" ht="20.100000000000001" customHeight="1" x14ac:dyDescent="0.25">
      <c r="A63" s="5" t="str">
        <f>HYPERLINK("#'Constants - Common'!A1", "Constants - Common")</f>
        <v>Constants - Common</v>
      </c>
      <c r="D63" s="119" t="str">
        <v>C_N2O</v>
      </c>
      <c r="E63" s="124" t="str">
        <v>factor to convert elemental mass of N2O to molecular mass</v>
      </c>
      <c r="F63" s="125"/>
      <c r="G63" s="119" t="str">
        <v/>
      </c>
      <c r="H63" s="127" t="str">
        <v>Constant</v>
      </c>
      <c r="I63" s="119">
        <f>Common_InputFunctions.Utility_LookupValueInTableNumber("N2O",Table_GasToMolecularConversionFactor[Gas],Table_GasToMolecularConversionFactor[Conversion factor combined])</f>
        <v>1.5714285714285714</v>
      </c>
      <c r="O63" s="131"/>
      <c r="P63" s="134"/>
      <c r="Q63" s="137"/>
      <c r="R63" s="131"/>
    </row>
    <row r="64" spans="1:23" ht="20.100000000000001" customHeight="1" x14ac:dyDescent="0.25">
      <c r="A64" s="5" t="str">
        <f>HYPERLINK("#'Constants - Solid Waste'!A1", "Constants - Solid Waste")</f>
        <v>Constants - Solid Waste</v>
      </c>
      <c r="D64" s="119" t="str">
        <v>j</v>
      </c>
      <c r="E64" s="124" t="str">
        <v>production system</v>
      </c>
      <c r="F64" s="125"/>
      <c r="G64" s="119" t="str">
        <v/>
      </c>
      <c r="H64" s="120" t="str">
        <v>Input</v>
      </c>
      <c r="I64" s="119" t="str">
        <f>X_Cell_Dairy_ManureAppliedProductionSystem</f>
        <v>Pasture</v>
      </c>
      <c r="O64" s="131"/>
      <c r="P64" s="134"/>
      <c r="Q64" s="137"/>
      <c r="R64" s="131"/>
    </row>
    <row r="65" spans="1:18" ht="20.100000000000001" customHeight="1" x14ac:dyDescent="0.25">
      <c r="A65" s="5" t="str">
        <f>HYPERLINK("#'Acknowledgements'!A1", "Acknowledgements")</f>
        <v>Acknowledgements</v>
      </c>
      <c r="D65" s="119" t="str">
        <v>ir</v>
      </c>
      <c r="E65" s="124" t="str">
        <v>irrigation method</v>
      </c>
      <c r="F65" s="125"/>
      <c r="G65" s="119" t="str">
        <v/>
      </c>
      <c r="H65" s="120" t="str">
        <v>Input</v>
      </c>
      <c r="I65" s="119" t="str">
        <f>X_Cell_Dairy_ManureAppliedIrrigationMethod</f>
        <v>Sprinkler irrigation</v>
      </c>
      <c r="O65" s="131"/>
      <c r="P65" s="134"/>
      <c r="Q65" s="137"/>
      <c r="R65" s="131"/>
    </row>
    <row r="66" spans="1:18" ht="20.100000000000001" customHeight="1" x14ac:dyDescent="0.25">
      <c r="D66" s="119" t="str">
        <v>r</v>
      </c>
      <c r="E66" s="124" t="str">
        <v>rainfall region</v>
      </c>
      <c r="F66" s="125"/>
      <c r="G66" s="119" t="str">
        <v/>
      </c>
      <c r="H66" s="120" t="str">
        <v>Input</v>
      </c>
      <c r="I66" s="119">
        <f>X_Cell_Site_RainfallZone</f>
        <v>0</v>
      </c>
      <c r="O66" s="131"/>
      <c r="P66" s="134"/>
      <c r="Q66" s="137"/>
      <c r="R66" s="131"/>
    </row>
    <row r="67" spans="1:18" ht="20.100000000000001" customHeight="1" x14ac:dyDescent="0.25"/>
    <row r="68" spans="1:18" ht="20.100000000000001" customHeight="1" x14ac:dyDescent="0.25">
      <c r="D68" s="88" t="s">
        <v>504</v>
      </c>
      <c r="E68" s="91" cm="1">
        <f t="array" ref="E68">MMS_Dairy_AtmosphericDeposition_Equations.VEERG_4_3_1_5__1_AnnualAtmosphericDepositionEmissionsFromMMS($I$61,$I$62,$I$63)</f>
        <v>4.7299753181434263E-2</v>
      </c>
      <c r="F68" s="90" t="str">
        <f>$E$59</f>
        <v>t N2O</v>
      </c>
      <c r="O68" s="88" t="s">
        <v>504</v>
      </c>
      <c r="P68" s="91" cm="1">
        <f t="array" ref="P68">MMS_Dairy_AtmosphericDeposition_Equations.VEERG_4_3_1_5__1_AnnualAtmosphericDepositionEmissionsFromMMS($R$61,$I$62,$I$63)</f>
        <v>4.7299753181434263E-2</v>
      </c>
      <c r="Q68" s="90" t="str">
        <f>$E$59</f>
        <v>t N2O</v>
      </c>
    </row>
    <row r="69" spans="1:18" ht="20.100000000000001" customHeight="1" x14ac:dyDescent="0.25"/>
    <row r="70" spans="1:18" ht="20.100000000000001" customHeight="1" x14ac:dyDescent="0.25">
      <c r="D70" s="131" t="str" cm="1">
        <f t="array" ref="D70:E71">Common_Equations.Common_ConvertN2OToCO2e_Arguments()</f>
        <v>EN2O</v>
      </c>
      <c r="E70" s="134" t="str">
        <v>Nitrous oxide emissions (t N2O)</v>
      </c>
      <c r="F70" s="135"/>
      <c r="G70" s="15">
        <f>VEERG_4_3_1_5__1_AnnualAtmosphericDepositionEmissionsFromMMS_Result_Method1</f>
        <v>4.7299753181434263E-2</v>
      </c>
      <c r="O70" s="131" t="str" cm="1">
        <f t="array" ref="O70:P71">Common_Equations.Common_ConvertN2OToCO2e_Arguments()</f>
        <v>EN2O</v>
      </c>
      <c r="P70" s="134" t="str">
        <v>Nitrous oxide emissions (t N2O)</v>
      </c>
      <c r="Q70" s="135"/>
      <c r="R70" s="15">
        <f>VEERG_4_3_1_5__1_AnnualAtmosphericDepositionEmissionsFromMMS_Result_Method2</f>
        <v>4.7299753181434263E-2</v>
      </c>
    </row>
    <row r="71" spans="1:18" ht="20.100000000000001" customHeight="1" x14ac:dyDescent="0.25">
      <c r="D71" s="131" t="str">
        <v>GWPN2O</v>
      </c>
      <c r="E71" s="134" t="str">
        <v>Global warming potential for nitrous oxide (t CO2-e / t N2O)</v>
      </c>
      <c r="F71" s="135"/>
      <c r="G71" s="15">
        <f>Common_InputFunctions.Utility_LookupValueInTableNumber("N2O",Table_GWPData[Gas],Table_GWPData[CO2-e factor])</f>
        <v>265</v>
      </c>
      <c r="O71" s="131" t="str">
        <v>GWPN2O</v>
      </c>
      <c r="P71" s="134" t="str">
        <v>Global warming potential for nitrous oxide (t CO2-e / t N2O)</v>
      </c>
      <c r="Q71" s="135"/>
      <c r="R71" s="15">
        <f>Common_InputFunctions.Utility_LookupValueInTableNumber("N2O",Table_GWPData[Gas],Table_GWPData[CO2-e factor])</f>
        <v>265</v>
      </c>
    </row>
    <row r="72" spans="1:18" ht="20.100000000000001" customHeight="1" x14ac:dyDescent="0.25"/>
    <row r="73" spans="1:18" ht="20.100000000000001" customHeight="1" x14ac:dyDescent="0.25">
      <c r="D73" s="89" t="s">
        <v>493</v>
      </c>
      <c r="E73" s="89" cm="1">
        <f t="array" ref="E73">Common_Equations.Common_ConvertN2OToCO2e(G70,G71)</f>
        <v>12.53443459308008</v>
      </c>
      <c r="F73" s="94" t="str" cm="1">
        <f t="array" ref="F73">Common_Equations.Common_ConvertN2OToCO2e_Unit()</f>
        <v>t CO2e</v>
      </c>
      <c r="O73" s="89" t="s">
        <v>493</v>
      </c>
      <c r="P73" s="89" cm="1">
        <f t="array" ref="P73">Common_Equations.Common_ConvertN2OToCO2e(R70,R71)</f>
        <v>12.53443459308008</v>
      </c>
      <c r="Q73" s="94"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1522330-BD02-4320-AAFC-9801837F469F}"/>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7240-3E18-4CF0-9C59-86C0ECC0C085}">
  <sheetPr>
    <tabColor rgb="FF008000"/>
  </sheetPr>
  <dimension ref="A1:W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505</v>
      </c>
    </row>
    <row r="2" spans="1:23" s="3" customFormat="1" ht="20.100000000000001" customHeight="1" x14ac:dyDescent="0.25">
      <c r="A2"/>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5" t="str">
        <f>HYPERLINK("#'Results'!A1", "Results")</f>
        <v>Results</v>
      </c>
      <c r="D6" s="17" t="str" cm="1">
        <f t="array" ref="D6">MMS_Dairy_LeachingAndRunoff_Equations.VEERG_4_3_1_6__2_MassOfNitrogenLostToLeachingAndRunoffFromSolidStorage_Source()</f>
        <v>VEERG 2026: 4.3.1.6, Equation (2)</v>
      </c>
    </row>
    <row r="7" spans="1:23" ht="20.100000000000001" customHeight="1" x14ac:dyDescent="0.25">
      <c r="D7" s="117" t="s">
        <v>343</v>
      </c>
      <c r="E7" s="117" t="str" cm="1">
        <f t="array" aca="1" ref="E7" ca="1">Common_InputFunctions.Utility_DisplayFunctionName($F$29)</f>
        <v>=MMS_Dairy_LeachingAndRunoff_Equations.VEERG_4_3_1_6__2_MassOfNitrogenLostToLeachingAndRunoffFromSolidStorage</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344</v>
      </c>
      <c r="E10" s="1" t="str" cm="1">
        <f t="array" ref="E10">MMS_Dairy_LeachingAndRunoff_Equations.VEERG_4_3_1_6__2_MassOfNitrogenLostToLeachingAndRunoffFromSolidStorage_Variable()</f>
        <v>MNLeach_jm4</v>
      </c>
    </row>
    <row r="11" spans="1:23" ht="20.100000000000001" customHeight="1" x14ac:dyDescent="0.25">
      <c r="A11" s="5" t="str">
        <f>HYPERLINK("#'Input - Site'!A1", "Site")</f>
        <v>Site</v>
      </c>
      <c r="D11" s="76" t="s">
        <v>118</v>
      </c>
      <c r="E11" s="9" t="str" cm="1">
        <f t="array" ref="E11">MMS_Dairy_LeachingAndRunoff_Equations.VEERG_4_3_1_6__2_MassOfNitrogenLostToLeachingAndRunoffFromSolidStorage_Unit()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8">_xlfn.CHOOSECOLS(MMS_Dairy_LeachingAndRunoff_Equations.VEERG_4_3_1_6__2_MassOfNitrogenLostToLeachingAndRunoffFromSolidStorage_Arguments(),1,2)</f>
        <v>MN_jm4</v>
      </c>
      <c r="E13" s="124" t="str">
        <v>total nitrogen in solid storage system m=4 (kg N)</v>
      </c>
      <c r="F13" s="132"/>
      <c r="G13" s="125"/>
      <c r="H13" s="119" t="str" cm="1">
        <f t="array" ref="H13:I18">_xlfn.CHOOSECOLS(MMS_Dairy_LeachingAndRunoff_Equations.VEERG_4_3_1_6__2_MassOfNitrogenLostToLeachingAndRunoffFromSolidStorage_Arguments(),3,4)</f>
        <v>kg N</v>
      </c>
      <c r="I13" s="127" t="str">
        <v>Calculated from 4.3.1.3 (2)</v>
      </c>
      <c r="J13" s="126" t="str" cm="1">
        <f t="array" aca="1" ref="J13" ca="1">HYPERLINK(Common_InputFunctions.Utility_SourceHyperlink($D$20),$D$20)</f>
        <v>M1_Table_MN_j_m-4</v>
      </c>
    </row>
    <row r="14" spans="1:23" ht="20.100000000000001" customHeight="1" x14ac:dyDescent="0.25">
      <c r="A14" s="5" t="str">
        <f>HYPERLINK("#'Input - Dairy cattle purchases'!A1", "Dairy cattle purchases")</f>
        <v>Dairy cattle purchases</v>
      </c>
      <c r="D14" s="119" t="str">
        <v>FracWET_i</v>
      </c>
      <c r="E14" s="124" t="str">
        <v>fraction of N that is available for leaching and runoff from the leaching zone z and irrigation type ir</v>
      </c>
      <c r="F14" s="132"/>
      <c r="G14" s="125"/>
      <c r="H14" s="119" t="str">
        <v>fraction</v>
      </c>
      <c r="I14" s="127" t="str">
        <v>Constant</v>
      </c>
      <c r="J14" s="119">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19" t="str">
        <v>FracLEACH_MS</v>
      </c>
      <c r="E15" s="124" t="str">
        <v>fraction of N that is lost through leaching and runoff</v>
      </c>
      <c r="F15" s="132"/>
      <c r="G15" s="125"/>
      <c r="H15" s="119" t="str">
        <v>fraction</v>
      </c>
      <c r="I15" s="127" t="str">
        <v>Constant</v>
      </c>
      <c r="J15" s="119">
        <f>SourceData_Dairy_FractionOfNitrogenLostThroughLeachingAndRunoffSolidStorage_Data</f>
        <v>0.02</v>
      </c>
    </row>
    <row r="16" spans="1:23" ht="20.100000000000001" customHeight="1" x14ac:dyDescent="0.25">
      <c r="A16" s="5" t="str">
        <f>HYPERLINK("#'Input - Fert Prod System'!A1", "Fert Prod System")</f>
        <v>Fert Prod System</v>
      </c>
      <c r="D16" s="119" t="str">
        <v>z</v>
      </c>
      <c r="E16" s="124" t="str">
        <v>location in leaching zone</v>
      </c>
      <c r="F16" s="132"/>
      <c r="G16" s="125"/>
      <c r="H16" s="119" t="str">
        <v/>
      </c>
      <c r="I16" s="120" t="str">
        <v>Input</v>
      </c>
      <c r="J16" s="119">
        <f>X_Cell_Site_LeachingZone</f>
        <v>0</v>
      </c>
    </row>
    <row r="17" spans="1:22" ht="20.100000000000001" customHeight="1" x14ac:dyDescent="0.25">
      <c r="A17" s="5" t="str">
        <f>HYPERLINK("#'Input - Fertiliser'!A1", "Fertiliser")</f>
        <v>Fertiliser</v>
      </c>
      <c r="D17" s="119" t="str">
        <v>j</v>
      </c>
      <c r="E17" s="124" t="str">
        <v>production system</v>
      </c>
      <c r="F17" s="132"/>
      <c r="G17" s="125"/>
      <c r="H17" s="119" t="str">
        <v/>
      </c>
      <c r="I17" s="120" t="str">
        <v>Input</v>
      </c>
      <c r="J17" s="119" t="str">
        <f>X_Cell_Dairy_ManureAppliedProductionSystem</f>
        <v>Pasture</v>
      </c>
    </row>
    <row r="18" spans="1:22" ht="20.100000000000001" customHeight="1" x14ac:dyDescent="0.25">
      <c r="A18" s="5" t="str">
        <f>HYPERLINK("#'Input - Fuel'!A1", "Fuel")</f>
        <v>Fuel</v>
      </c>
      <c r="D18" s="119" t="str">
        <v>ir</v>
      </c>
      <c r="E18" s="124" t="str">
        <v>irrigation method</v>
      </c>
      <c r="F18" s="132"/>
      <c r="G18" s="125"/>
      <c r="H18" s="119" t="str">
        <v/>
      </c>
      <c r="I18" s="120" t="str">
        <v>Input</v>
      </c>
      <c r="J18" s="119"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Common farm inputs'!A1", "Common farm inputs")</f>
        <v>Common farm inputs</v>
      </c>
      <c r="D20" s="121" t="s">
        <v>506</v>
      </c>
      <c r="O20" s="121" t="s">
        <v>507</v>
      </c>
    </row>
    <row r="21" spans="1:22" ht="20.100000000000001" customHeight="1" x14ac:dyDescent="0.25">
      <c r="A21" s="5" t="str">
        <f>HYPERLINK("#'Input - Crop pasture farm input'!A1", "Crop pasture farm input")</f>
        <v>Crop pasture farm input</v>
      </c>
      <c r="D21" s="122" t="s">
        <v>508</v>
      </c>
      <c r="O21" s="122" t="s">
        <v>509</v>
      </c>
    </row>
    <row r="22" spans="1:22" ht="20.100000000000001" customHeight="1" x14ac:dyDescent="0.25">
      <c r="A22" s="5" t="str">
        <f>HYPERLINK("#'Input - Livestock farm Inputs'!A1", "Livestock farm Inputs")</f>
        <v>Livestock farm Inputs</v>
      </c>
      <c r="D22" s="123" t="s">
        <v>161</v>
      </c>
      <c r="E22" s="123" t="s">
        <v>388</v>
      </c>
      <c r="F22" s="123" t="s">
        <v>295</v>
      </c>
      <c r="G22" s="123" t="s">
        <v>296</v>
      </c>
      <c r="H22" s="123" t="s">
        <v>297</v>
      </c>
      <c r="I22" s="123" t="s">
        <v>298</v>
      </c>
      <c r="J22" s="123" t="s">
        <v>299</v>
      </c>
      <c r="O22" s="123" t="s">
        <v>161</v>
      </c>
      <c r="P22" s="123" t="s">
        <v>388</v>
      </c>
      <c r="Q22" s="123" t="s">
        <v>295</v>
      </c>
      <c r="R22" s="123" t="s">
        <v>296</v>
      </c>
      <c r="S22" s="123" t="s">
        <v>297</v>
      </c>
      <c r="T22" s="123" t="s">
        <v>298</v>
      </c>
      <c r="U22" s="123" t="s">
        <v>299</v>
      </c>
    </row>
    <row r="23" spans="1:22" ht="20.100000000000001" customHeight="1" x14ac:dyDescent="0.25">
      <c r="A23" s="5" t="str">
        <f>HYPERLINK("#'Input - Freight'!A1", "Freight")</f>
        <v>Freight</v>
      </c>
      <c r="D23" s="15" t="str">
        <f>INDEX(X_Table_Dairy_ProductionSystems_Method1,3,1)</f>
        <v>Milking shed</v>
      </c>
      <c r="E23" s="15" t="s">
        <v>75</v>
      </c>
      <c r="F23" s="15">
        <f>INDEX(M1_Table_MN_j_m,5,3)</f>
        <v>798.49211369493332</v>
      </c>
      <c r="G23" s="15">
        <f>INDEX(M1_Table_MN_j_m,5,4)</f>
        <v>364.71580535564152</v>
      </c>
      <c r="H23" s="15">
        <f>INDEX(M1_Table_MN_j_m,5,5)</f>
        <v>145.26244824768682</v>
      </c>
      <c r="I23" s="15">
        <f>INDEX(M1_Table_MN_j_m,5,6)</f>
        <v>458.46219147973682</v>
      </c>
      <c r="J23" s="15">
        <f>INDEX(M1_Table_MN_j_m,5,7)</f>
        <v>191.92571415811079</v>
      </c>
      <c r="K23" s="16" t="str">
        <f>$H$13</f>
        <v>kg N</v>
      </c>
      <c r="O23" s="15" t="str">
        <f>INDEX(X_Table_Dairy_ProductionSystems_Method1,3,1)</f>
        <v>Milking shed</v>
      </c>
      <c r="P23" s="15" t="s">
        <v>75</v>
      </c>
      <c r="Q23" s="15">
        <f>INDEX(M2_Table_MN_j_m,5,3)</f>
        <v>798.49211369493332</v>
      </c>
      <c r="R23" s="15">
        <f>INDEX(M2_Table_MN_j_m,5,4)</f>
        <v>364.71580535564152</v>
      </c>
      <c r="S23" s="15">
        <f>INDEX(M2_Table_MN_j_m,5,5)</f>
        <v>145.26244824768682</v>
      </c>
      <c r="T23" s="15">
        <f>INDEX(M2_Table_MN_j_m,5,6)</f>
        <v>458.46219147973682</v>
      </c>
      <c r="U23" s="15">
        <f>INDEX(M2_Table_MN_j_m,5,7)</f>
        <v>191.92571415811079</v>
      </c>
      <c r="V23" s="16" t="str">
        <f>$H$13</f>
        <v>kg N</v>
      </c>
    </row>
    <row r="24" spans="1:22" ht="20.100000000000001" customHeight="1" x14ac:dyDescent="0.25">
      <c r="A24" s="5" t="str">
        <f>HYPERLINK("#'Input - Solid waste'!A1", "Solid waste")</f>
        <v>Solid waste</v>
      </c>
      <c r="D24" s="15" t="str">
        <f>INDEX(X_Table_Dairy_ProductionSystems_Method1,4,1)</f>
        <v>Feed pad</v>
      </c>
      <c r="E24" s="15" t="s">
        <v>75</v>
      </c>
      <c r="F24" s="15">
        <f>INDEX(M1_Table_MN_j_m,9,3)</f>
        <v>2261.1844855997429</v>
      </c>
      <c r="G24" s="15">
        <f>INDEX(M1_Table_MN_j_m,9,4)</f>
        <v>1032.8088488025667</v>
      </c>
      <c r="H24" s="15">
        <f>INDEX(M1_Table_MN_j_m,9,5)</f>
        <v>411.35684208322226</v>
      </c>
      <c r="I24" s="15">
        <f>INDEX(M1_Table_MN_j_m,9,6)</f>
        <v>1298.2815695085274</v>
      </c>
      <c r="J24" s="15">
        <f>INDEX(M1_Table_MN_j_m,9,7)</f>
        <v>543.49872691137739</v>
      </c>
      <c r="K24" s="16"/>
      <c r="O24" s="15" t="str">
        <f>INDEX(X_Table_Dairy_ProductionSystems_Method1,4,1)</f>
        <v>Feed pad</v>
      </c>
      <c r="P24" s="15" t="s">
        <v>75</v>
      </c>
      <c r="Q24" s="15">
        <f>INDEX(M2_Table_MN_j_m,9,3)</f>
        <v>2261.1844855997429</v>
      </c>
      <c r="R24" s="15">
        <f>INDEX(M2_Table_MN_j_m,9,4)</f>
        <v>1032.8088488025667</v>
      </c>
      <c r="S24" s="15">
        <f>INDEX(M2_Table_MN_j_m,9,5)</f>
        <v>411.35684208322226</v>
      </c>
      <c r="T24" s="15">
        <f>INDEX(M2_Table_MN_j_m,9,6)</f>
        <v>1298.2815695085274</v>
      </c>
      <c r="U24" s="15">
        <f>INDEX(M2_Table_MN_j_m,9,7)</f>
        <v>543.49872691137739</v>
      </c>
      <c r="V24" s="16"/>
    </row>
    <row r="25" spans="1:22" ht="20.100000000000001" customHeight="1" x14ac:dyDescent="0.25">
      <c r="A25" s="5" t="str">
        <f>HYPERLINK("#'Input - Manure sent off-site'!A1", "Manure sent off-site")</f>
        <v>Manure sent off-site</v>
      </c>
    </row>
    <row r="26" spans="1:22" ht="20.100000000000001" customHeight="1" x14ac:dyDescent="0.25">
      <c r="A26" s="5" t="str">
        <f>HYPERLINK("#'Input - Data quality'!A1", "Data quality")</f>
        <v>Data quality</v>
      </c>
      <c r="D26" s="121" t="s">
        <v>510</v>
      </c>
      <c r="O26" s="121" t="s">
        <v>511</v>
      </c>
    </row>
    <row r="27" spans="1:22" ht="20.100000000000001" customHeight="1" x14ac:dyDescent="0.25">
      <c r="D27" s="122" t="s">
        <v>512</v>
      </c>
      <c r="O27" s="122" t="s">
        <v>513</v>
      </c>
    </row>
    <row r="28" spans="1:22" ht="20.100000000000001" customHeight="1" x14ac:dyDescent="0.25">
      <c r="D28" s="123" t="s">
        <v>161</v>
      </c>
      <c r="E28" s="123" t="s">
        <v>388</v>
      </c>
      <c r="F28" s="123" t="s">
        <v>295</v>
      </c>
      <c r="G28" s="123" t="s">
        <v>296</v>
      </c>
      <c r="H28" s="123" t="s">
        <v>297</v>
      </c>
      <c r="I28" s="123" t="s">
        <v>298</v>
      </c>
      <c r="J28" s="123" t="s">
        <v>299</v>
      </c>
      <c r="O28" s="123" t="s">
        <v>161</v>
      </c>
      <c r="P28" s="123" t="s">
        <v>388</v>
      </c>
      <c r="Q28" s="123" t="s">
        <v>295</v>
      </c>
      <c r="R28" s="123" t="s">
        <v>296</v>
      </c>
      <c r="S28" s="123" t="s">
        <v>297</v>
      </c>
      <c r="T28" s="123" t="s">
        <v>298</v>
      </c>
      <c r="U28" s="123" t="s">
        <v>299</v>
      </c>
    </row>
    <row r="29" spans="1:22" ht="20.100000000000001" customHeight="1" x14ac:dyDescent="0.25">
      <c r="A29" s="6" t="s">
        <v>2</v>
      </c>
      <c r="D29" s="15" t="str">
        <f>INDEX(X_Table_Dairy_ProductionSystems_Method1,3,1)</f>
        <v>Milking shed</v>
      </c>
      <c r="E29" s="15" t="s">
        <v>75</v>
      </c>
      <c r="F29" s="15" cm="1">
        <f t="array" ref="F29">MMS_Dairy_LeachingAndRunoff_Equations.VEERG_4_3_1_6__2_MassOfNitrogenLostToLeachingAndRunoffFromSolidStorage(F23,$J$14,$J$15)</f>
        <v>15.969842273898667</v>
      </c>
      <c r="G29" s="15" cm="1">
        <f t="array" ref="G29">MMS_Dairy_LeachingAndRunoff_Equations.VEERG_4_3_1_6__2_MassOfNitrogenLostToLeachingAndRunoffFromSolidStorage(G23,$J$14,$J$15)</f>
        <v>7.2943161071128308</v>
      </c>
      <c r="H29" s="15" cm="1">
        <f t="array" ref="H29">MMS_Dairy_LeachingAndRunoff_Equations.VEERG_4_3_1_6__2_MassOfNitrogenLostToLeachingAndRunoffFromSolidStorage(H23,$J$14,$J$15)</f>
        <v>2.9052489649537363</v>
      </c>
      <c r="I29" s="15" cm="1">
        <f t="array" ref="I29">MMS_Dairy_LeachingAndRunoff_Equations.VEERG_4_3_1_6__2_MassOfNitrogenLostToLeachingAndRunoffFromSolidStorage(I23,$J$14,$J$15)</f>
        <v>9.1692438295947358</v>
      </c>
      <c r="J29" s="15" cm="1">
        <f t="array" ref="J29">MMS_Dairy_LeachingAndRunoff_Equations.VEERG_4_3_1_6__2_MassOfNitrogenLostToLeachingAndRunoffFromSolidStorage(J23,$J$14,$J$15)</f>
        <v>3.8385142831622159</v>
      </c>
      <c r="K29" s="16" t="str">
        <f>$E$11</f>
        <v>kg N</v>
      </c>
      <c r="O29" s="15" t="str">
        <f>INDEX(X_Table_Dairy_ProductionSystems_Method1,3,1)</f>
        <v>Milking shed</v>
      </c>
      <c r="P29" s="15" t="s">
        <v>75</v>
      </c>
      <c r="Q29" s="15" cm="1">
        <f t="array" ref="Q29">MMS_Dairy_LeachingAndRunoff_Equations.VEERG_4_3_1_6__2_MassOfNitrogenLostToLeachingAndRunoffFromSolidStorage(Q23,$J$14,$J$15)</f>
        <v>15.969842273898667</v>
      </c>
      <c r="R29" s="15" cm="1">
        <f t="array" ref="R29">MMS_Dairy_LeachingAndRunoff_Equations.VEERG_4_3_1_6__2_MassOfNitrogenLostToLeachingAndRunoffFromSolidStorage(R23,$J$14,$J$15)</f>
        <v>7.2943161071128308</v>
      </c>
      <c r="S29" s="15" cm="1">
        <f t="array" ref="S29">MMS_Dairy_LeachingAndRunoff_Equations.VEERG_4_3_1_6__2_MassOfNitrogenLostToLeachingAndRunoffFromSolidStorage(S23,$J$14,$J$15)</f>
        <v>2.9052489649537363</v>
      </c>
      <c r="T29" s="15" cm="1">
        <f t="array" ref="T29">MMS_Dairy_LeachingAndRunoff_Equations.VEERG_4_3_1_6__2_MassOfNitrogenLostToLeachingAndRunoffFromSolidStorage(T23,$J$14,$J$15)</f>
        <v>9.1692438295947358</v>
      </c>
      <c r="U29" s="15" cm="1">
        <f t="array" ref="U29">MMS_Dairy_LeachingAndRunoff_Equations.VEERG_4_3_1_6__2_MassOfNitrogenLostToLeachingAndRunoffFromSolidStorage(U23,$J$14,$J$15)</f>
        <v>3.8385142831622159</v>
      </c>
      <c r="V29" s="16" t="str">
        <f>$E$11</f>
        <v>kg N</v>
      </c>
    </row>
    <row r="30" spans="1:22" ht="20.100000000000001" customHeight="1" x14ac:dyDescent="0.25">
      <c r="A30" s="5" t="str">
        <f>HYPERLINK("#'3.3.1.1-2 Enteric Methane'!A1", "3.3.1.1-2 Enteric methane")</f>
        <v>3.3.1.1-2 Enteric methane</v>
      </c>
      <c r="D30" s="15" t="str">
        <f>INDEX(X_Table_Dairy_ProductionSystems_Method1,4,1)</f>
        <v>Feed pad</v>
      </c>
      <c r="E30" s="15" t="s">
        <v>75</v>
      </c>
      <c r="F30" s="15" cm="1">
        <f t="array" ref="F30">MMS_Dairy_LeachingAndRunoff_Equations.VEERG_4_3_1_6__2_MassOfNitrogenLostToLeachingAndRunoffFromSolidStorage(F24,$J$14,$J$15)</f>
        <v>45.223689711994858</v>
      </c>
      <c r="G30" s="15" cm="1">
        <f t="array" ref="G30">MMS_Dairy_LeachingAndRunoff_Equations.VEERG_4_3_1_6__2_MassOfNitrogenLostToLeachingAndRunoffFromSolidStorage(G24,$J$14,$J$15)</f>
        <v>20.656176976051334</v>
      </c>
      <c r="H30" s="15" cm="1">
        <f t="array" ref="H30">MMS_Dairy_LeachingAndRunoff_Equations.VEERG_4_3_1_6__2_MassOfNitrogenLostToLeachingAndRunoffFromSolidStorage(H24,$J$14,$J$15)</f>
        <v>8.2271368416644446</v>
      </c>
      <c r="I30" s="15" cm="1">
        <f t="array" ref="I30">MMS_Dairy_LeachingAndRunoff_Equations.VEERG_4_3_1_6__2_MassOfNitrogenLostToLeachingAndRunoffFromSolidStorage(I24,$J$14,$J$15)</f>
        <v>25.965631390170547</v>
      </c>
      <c r="J30" s="15" cm="1">
        <f t="array" ref="J30">MMS_Dairy_LeachingAndRunoff_Equations.VEERG_4_3_1_6__2_MassOfNitrogenLostToLeachingAndRunoffFromSolidStorage(J24,$J$14,$J$15)</f>
        <v>10.869974538227549</v>
      </c>
      <c r="K30" s="16"/>
      <c r="O30" s="15" t="str">
        <f>INDEX(X_Table_Dairy_ProductionSystems_Method1,4,1)</f>
        <v>Feed pad</v>
      </c>
      <c r="P30" s="15" t="s">
        <v>75</v>
      </c>
      <c r="Q30" s="15" cm="1">
        <f t="array" ref="Q30">MMS_Dairy_LeachingAndRunoff_Equations.VEERG_4_3_1_6__2_MassOfNitrogenLostToLeachingAndRunoffFromSolidStorage(Q24,$J$14,$J$15)</f>
        <v>45.223689711994858</v>
      </c>
      <c r="R30" s="15" cm="1">
        <f t="array" ref="R30">MMS_Dairy_LeachingAndRunoff_Equations.VEERG_4_3_1_6__2_MassOfNitrogenLostToLeachingAndRunoffFromSolidStorage(R24,$J$14,$J$15)</f>
        <v>20.656176976051334</v>
      </c>
      <c r="S30" s="15" cm="1">
        <f t="array" ref="S30">MMS_Dairy_LeachingAndRunoff_Equations.VEERG_4_3_1_6__2_MassOfNitrogenLostToLeachingAndRunoffFromSolidStorage(S24,$J$14,$J$15)</f>
        <v>8.2271368416644446</v>
      </c>
      <c r="T30" s="15" cm="1">
        <f t="array" ref="T30">MMS_Dairy_LeachingAndRunoff_Equations.VEERG_4_3_1_6__2_MassOfNitrogenLostToLeachingAndRunoffFromSolidStorage(T24,$J$14,$J$15)</f>
        <v>25.965631390170547</v>
      </c>
      <c r="U30" s="15" cm="1">
        <f t="array" ref="U30">MMS_Dairy_LeachingAndRunoff_Equations.VEERG_4_3_1_6__2_MassOfNitrogenLostToLeachingAndRunoffFromSolidStorage(U24,$J$14,$J$15)</f>
        <v>10.869974538227549</v>
      </c>
      <c r="V30" s="16"/>
    </row>
    <row r="31" spans="1:22" ht="20.100000000000001" customHeight="1" x14ac:dyDescent="0.25">
      <c r="A31" s="5" t="str">
        <f>HYPERLINK("#'4.3.1.1-2 Methane'!A1", "4.3.1.1-2 Manure methane")</f>
        <v>4.3.1.1-2 Manure methane</v>
      </c>
    </row>
    <row r="32" spans="1:22" ht="20.100000000000001" customHeight="1" x14ac:dyDescent="0.25">
      <c r="A32" s="5" t="str">
        <f>HYPERLINK("#'4.3.1.3-4 Direct N20'!A1", "4.3.1.3-4 Direct N20")</f>
        <v>4.3.1.3-4 Direct N20</v>
      </c>
    </row>
    <row r="33" spans="1:23" ht="20.100000000000001" customHeight="1" x14ac:dyDescent="0.25">
      <c r="A33" s="5" t="str">
        <f>HYPERLINK("#'4.3.1.5 Atmos deposition'!A1", "4.3.1.5 Atmos deposition")</f>
        <v>4.3.1.5 Atmos deposition</v>
      </c>
      <c r="C33" s="89"/>
      <c r="D33" s="89"/>
      <c r="E33" s="89"/>
      <c r="F33" s="89"/>
      <c r="G33" s="89"/>
      <c r="H33" s="89"/>
      <c r="I33" s="89"/>
      <c r="J33" s="89"/>
      <c r="K33" s="89"/>
      <c r="L33" s="89"/>
      <c r="N33" s="89"/>
      <c r="O33" s="89"/>
      <c r="P33" s="89"/>
      <c r="Q33" s="89"/>
      <c r="R33" s="89"/>
      <c r="S33" s="89"/>
      <c r="T33" s="89"/>
      <c r="U33" s="89"/>
      <c r="V33" s="89"/>
      <c r="W33" s="89"/>
    </row>
    <row r="34" spans="1:23" ht="20.100000000000001" customHeight="1" x14ac:dyDescent="0.25">
      <c r="A34" s="118" t="str">
        <f>HYPERLINK("#'4.3.1.6-7 Leaching and runoff'!A1", "4.3.1.6-7 Leaching &amp; runoff")</f>
        <v>4.3.1.6-7 Leaching &amp; runoff</v>
      </c>
      <c r="D34" s="2" t="str" cm="1">
        <f t="array" ref="D34">MMS_Dairy_LeachingAndRunoff_Equations.VEERG_4_3_1_6__1_AnnualEmissionsFromLeachingAndRunoffFromMMS_Title()</f>
        <v>Annual emissions from leaching and runoff from each MMS</v>
      </c>
    </row>
    <row r="35" spans="1:23" ht="20.100000000000001" customHeight="1" x14ac:dyDescent="0.25">
      <c r="A35" s="5" t="str">
        <f>HYPERLINK("#'4.3.1.8 Manure applied to soils'!A1", "4.3.1.8 Manure applied to soils")</f>
        <v>4.3.1.8 Manure applied to soils</v>
      </c>
      <c r="D35" s="17" t="str" cm="1">
        <f t="array" ref="D35">MMS_Dairy_LeachingAndRunoff_Equations.VEERG_4_3_1_6__1_AnnualEmissionsFromLeachingAndRunoffFromMMS_Source()</f>
        <v>VEERG 2026: 4.3.1.6, Equation (1)</v>
      </c>
    </row>
    <row r="36" spans="1:23" ht="20.100000000000001" customHeight="1" x14ac:dyDescent="0.25">
      <c r="A36" s="5" t="str">
        <f>HYPERLINK("#'4.3.1.9 Soil direct N2O'!A1", "4.3.1.9 Soil direct N2O")</f>
        <v>4.3.1.9 Soil direct N2O</v>
      </c>
      <c r="D36" s="117" t="s">
        <v>343</v>
      </c>
      <c r="E36" s="117" t="str" cm="1">
        <f t="array" aca="1" ref="E36" ca="1">Common_InputFunctions.Utility_DisplayFunctionName(J49)</f>
        <v>=MMS_Dairy_LeachingAndRunoff_Equations.VEERG_4_3_1_6__1_AnnualEmissionsFromLeachingAndRunoffFromMMS</v>
      </c>
    </row>
    <row r="37" spans="1:23" ht="20.100000000000001" customHeight="1" x14ac:dyDescent="0.25">
      <c r="A37" s="5" t="str">
        <f>HYPERLINK("#'4.3.1.10-11 Soil Atmos Dep'!A1", "4.3.1.10-11 Soil Atmos Deposition")</f>
        <v>4.3.1.10-11 Soil Atmos Deposition</v>
      </c>
    </row>
    <row r="38" spans="1:23" ht="20.100000000000001" customHeight="1" x14ac:dyDescent="0.25">
      <c r="A38" s="5" t="str">
        <f>HYPERLINK("#'4.3.1.12-13 Soil leach runoff'!A1", "4.3.1.12-13 Soil leach &amp; runoff")</f>
        <v>4.3.1.12-13 Soil leach &amp; runoff</v>
      </c>
      <c r="D38" s="2"/>
    </row>
    <row r="39" spans="1:23" ht="20.100000000000001" customHeight="1" x14ac:dyDescent="0.25">
      <c r="A39" s="5" t="str">
        <f>HYPERLINK("#'5.1.1.1-2 Inorganic fert N2O'!A1", "5.1.1.1-2 Inorganic fert N2O")</f>
        <v>5.1.1.1-2 Inorganic fert N2O</v>
      </c>
      <c r="D39" s="76" t="s">
        <v>344</v>
      </c>
      <c r="E39" s="1" t="str" cm="1">
        <f t="array" ref="E39">MMS_Dairy_LeachingAndRunoff_Equations.VEERG_4_3_1_6__1_AnnualEmissionsFromLeachingAndRunoffFromMMS_Variable()</f>
        <v>E_N2Oleach</v>
      </c>
    </row>
    <row r="40" spans="1:23" ht="20.100000000000001" customHeight="1" x14ac:dyDescent="0.25">
      <c r="A40" s="5" t="str">
        <f>HYPERLINK("#'5.1.1.3-4 Inorganic fert CO2'!A1", "5.1.1.3-4 Inorganic fert CO2")</f>
        <v>5.1.1.3-4 Inorganic fert CO2</v>
      </c>
      <c r="D40" s="76" t="s">
        <v>118</v>
      </c>
      <c r="E40" s="9" t="str" cm="1">
        <f t="array" ref="E40">MMS_Dairy_LeachingAndRunoff_Equations.VEERG_4_3_1_6__1_AnnualEmissionsFromLeachingAndRunoffFromMMS_Unit()</f>
        <v>t N2O</v>
      </c>
    </row>
    <row r="41" spans="1:23" ht="20.100000000000001" customHeight="1" x14ac:dyDescent="0.25">
      <c r="A41" s="5" t="str">
        <f>HYPERLINK("#'5.2.1.1-2 Organic Fert N2O'!A1", "5.2.1.1-2 Organic fert N2O")</f>
        <v>5.2.1.1-2 Organic fert N2O</v>
      </c>
    </row>
    <row r="42" spans="1:23" ht="20.100000000000001" customHeight="1" x14ac:dyDescent="0.25">
      <c r="A42" s="5" t="str">
        <f>HYPERLINK("#'5.3.1.1-2 Lime CO2'!A1", "5.3.1.1-2 Lime CO2")</f>
        <v>5.3.1.1-2 Lime CO2</v>
      </c>
      <c r="D42" s="119" t="str" cm="1">
        <f t="array" ref="D42:E44">_xlfn.CHOOSECOLS(MMS_Dairy_LeachingAndRunoff_Equations.VEERG_4_3_1_6__1_AnnualEmissionsFromLeachingAndRunoffFromMMS_Arguments(),1,2)</f>
        <v>MNLeach_jm</v>
      </c>
      <c r="E42" s="124" t="str">
        <v>mass of N lost through leaching and runoff</v>
      </c>
      <c r="F42" s="125"/>
      <c r="G42" s="119" t="str" cm="1">
        <f t="array" ref="G42:H44">_xlfn.CHOOSECOLS(MMS_Dairy_LeachingAndRunoff_Equations.VEERG_4_3_1_6__1_AnnualEmissionsFromLeachingAndRunoffFromMMS_Arguments(),3,4)</f>
        <v>kg N</v>
      </c>
      <c r="H42" s="127" t="str">
        <v>Calculated from 4.3.1.6 (2)</v>
      </c>
      <c r="I42" s="126" t="str" cm="1">
        <f t="array" aca="1" ref="I42" ca="1">HYPERLINK(Common_InputFunctions.Utility_SourceHyperlink($D$26),$D$26)</f>
        <v>M1_Table_MN_leach_j_m-4</v>
      </c>
    </row>
    <row r="43" spans="1:23" ht="20.100000000000001" customHeight="1" x14ac:dyDescent="0.25">
      <c r="A43" s="5" t="str">
        <f>HYPERLINK("#'5.4.1.1-4 Atmos deposition'!A1", "5.4.1.1-4 Atmos. deposition")</f>
        <v>5.4.1.1-4 Atmos. deposition</v>
      </c>
      <c r="D43" s="119" t="str">
        <v>EF_leach</v>
      </c>
      <c r="E43" s="124" t="str">
        <v>nitrous oxide emission factor for leaching and runoff</v>
      </c>
      <c r="F43" s="125"/>
      <c r="G43" s="119" t="str">
        <v>kg N2O-N/kg N</v>
      </c>
      <c r="H43" s="127" t="str">
        <v>Constant</v>
      </c>
      <c r="I43" s="119">
        <f>SourceData_Dairy_EmissionFactorForLeachingAndRunoff_Data</f>
        <v>1.0999999999999999E-2</v>
      </c>
    </row>
    <row r="44" spans="1:23" ht="20.100000000000001" customHeight="1" x14ac:dyDescent="0.25">
      <c r="A44" s="5" t="str">
        <f>HYPERLINK("#'5.5.1.1-2 Leaching and runoff'!A1", "5.5.1.1-2 Leaching &amp; runoff")</f>
        <v>5.5.1.1-2 Leaching &amp; runoff</v>
      </c>
      <c r="D44" s="119" t="str">
        <v>C_N2O</v>
      </c>
      <c r="E44" s="124" t="str">
        <v>factor to convert elemental mass of N2O to molecular mass</v>
      </c>
      <c r="F44" s="125"/>
      <c r="G44" s="119" t="str">
        <v/>
      </c>
      <c r="H44" s="127" t="str">
        <v>Constant</v>
      </c>
      <c r="I44" s="119">
        <f>Common_InputFunctions.Utility_LookupValueInTableNumber("N2O",Table_GasToMolecularConversionFactor[Gas],Table_GasToMolecularConversionFactor[Conversion factor combined])</f>
        <v>1.5714285714285714</v>
      </c>
    </row>
    <row r="45" spans="1:23" ht="20.100000000000001" customHeight="1" x14ac:dyDescent="0.25">
      <c r="A45" s="5" t="str">
        <f>HYPERLINK("#'6.2.1.1-2 Pasture residue N2O'!A1", "6.2.1.1-2 Pasture residue N2O")</f>
        <v>6.2.1.1-2 Pasture residue N2O</v>
      </c>
    </row>
    <row r="46" spans="1:23" ht="20.100000000000001" customHeight="1" x14ac:dyDescent="0.25">
      <c r="A46" s="5" t="str">
        <f>HYPERLINK("#'6.3.1.1-2 Leach runoff pasture'!A1", "6.3.1.1-2 Leach &amp; runoff (pasture)")</f>
        <v>6.3.1.1-2 Leach &amp; runoff (pasture)</v>
      </c>
      <c r="D46" s="121" t="s">
        <v>514</v>
      </c>
      <c r="O46" s="121" t="s">
        <v>515</v>
      </c>
    </row>
    <row r="47" spans="1:23" ht="20.100000000000001" customHeight="1" x14ac:dyDescent="0.25">
      <c r="A47" s="5" t="str">
        <f>HYPERLINK("#'8.1.1.1-2 Transport fuel'!A1", "8.1.1.1-2 Transport fuel")</f>
        <v>8.1.1.1-2 Transport fuel</v>
      </c>
      <c r="D47" s="122" t="s">
        <v>516</v>
      </c>
      <c r="O47" s="122" t="s">
        <v>517</v>
      </c>
    </row>
    <row r="48" spans="1:23" ht="20.100000000000001" customHeight="1" x14ac:dyDescent="0.25">
      <c r="A48" s="5" t="str">
        <f>HYPERLINK("#'8.2.1.1-2 Stationary fuel'!A1", "8.2.1.1-2 Stationary fuel")</f>
        <v>8.2.1.1-2 Stationary fuel</v>
      </c>
      <c r="D48" s="123" t="s">
        <v>161</v>
      </c>
      <c r="E48" s="123" t="s">
        <v>388</v>
      </c>
      <c r="F48" s="123" t="s">
        <v>295</v>
      </c>
      <c r="G48" s="123" t="s">
        <v>296</v>
      </c>
      <c r="H48" s="123" t="s">
        <v>297</v>
      </c>
      <c r="I48" s="123" t="s">
        <v>298</v>
      </c>
      <c r="J48" s="123" t="s">
        <v>299</v>
      </c>
      <c r="O48" s="123" t="s">
        <v>161</v>
      </c>
      <c r="P48" s="123" t="s">
        <v>388</v>
      </c>
      <c r="Q48" s="123" t="s">
        <v>295</v>
      </c>
      <c r="R48" s="123" t="s">
        <v>296</v>
      </c>
      <c r="S48" s="123" t="s">
        <v>297</v>
      </c>
      <c r="T48" s="123" t="s">
        <v>298</v>
      </c>
      <c r="U48" s="123" t="s">
        <v>299</v>
      </c>
    </row>
    <row r="49" spans="1:22" ht="20.100000000000001" customHeight="1" x14ac:dyDescent="0.25">
      <c r="A49" s="5" t="str">
        <f>HYPERLINK("#'10.1.1-2 Solid waste treatment'!A1", "10.1.1.1-2 Solid waste")</f>
        <v>10.1.1.1-2 Solid waste</v>
      </c>
      <c r="D49" s="15" t="str">
        <f>INDEX(X_Table_Dairy_ProductionSystems_Method1,3,1)</f>
        <v>Milking shed</v>
      </c>
      <c r="E49" s="15" t="s">
        <v>75</v>
      </c>
      <c r="F49" s="15" cm="1">
        <f t="array" ref="F49">MMS_Dairy_LeachingAndRunoff_Equations.VEERG_4_3_1_6__1_AnnualEmissionsFromLeachingAndRunoffFromMMS(F29,$I$43,$I$44)</f>
        <v>2.7605013073453405E-4</v>
      </c>
      <c r="G49" s="15" cm="1">
        <f t="array" ref="G49">MMS_Dairy_LeachingAndRunoff_Equations.VEERG_4_3_1_6__1_AnnualEmissionsFromLeachingAndRunoffFromMMS(G29,$I$43,$I$44)</f>
        <v>1.2608746413723606E-4</v>
      </c>
      <c r="H49" s="15" cm="1">
        <f t="array" ref="H49">MMS_Dairy_LeachingAndRunoff_Equations.VEERG_4_3_1_6__1_AnnualEmissionsFromLeachingAndRunoffFromMMS(H29,$I$43,$I$44)</f>
        <v>5.0219303537057436E-5</v>
      </c>
      <c r="I49" s="15" cm="1">
        <f t="array" ref="I49">MMS_Dairy_LeachingAndRunoff_Equations.VEERG_4_3_1_6__1_AnnualEmissionsFromLeachingAndRunoffFromMMS(I29,$I$43,$I$44)</f>
        <v>1.5849692905442329E-4</v>
      </c>
      <c r="J49" s="15" cm="1">
        <f t="array" ref="J49">MMS_Dairy_LeachingAndRunoff_Equations.VEERG_4_3_1_6__1_AnnualEmissionsFromLeachingAndRunoffFromMMS(J29,$I$43,$I$44)</f>
        <v>6.6351461180375439E-5</v>
      </c>
      <c r="K49" s="16" t="str">
        <f>$E$40</f>
        <v>t N2O</v>
      </c>
      <c r="O49" s="15" t="str">
        <f>INDEX(X_Table_Dairy_ProductionSystems_Method1,3,1)</f>
        <v>Milking shed</v>
      </c>
      <c r="P49" s="15" t="s">
        <v>75</v>
      </c>
      <c r="Q49" s="15" cm="1">
        <f t="array" ref="Q49">MMS_Dairy_LeachingAndRunoff_Equations.VEERG_4_3_1_6__1_AnnualEmissionsFromLeachingAndRunoffFromMMS(Q29,$I$43,$I$44)</f>
        <v>2.7605013073453405E-4</v>
      </c>
      <c r="R49" s="15" cm="1">
        <f t="array" ref="R49">MMS_Dairy_LeachingAndRunoff_Equations.VEERG_4_3_1_6__1_AnnualEmissionsFromLeachingAndRunoffFromMMS(R29,$I$43,$I$44)</f>
        <v>1.2608746413723606E-4</v>
      </c>
      <c r="S49" s="15" cm="1">
        <f t="array" ref="S49">MMS_Dairy_LeachingAndRunoff_Equations.VEERG_4_3_1_6__1_AnnualEmissionsFromLeachingAndRunoffFromMMS(S29,$I$43,$I$44)</f>
        <v>5.0219303537057436E-5</v>
      </c>
      <c r="T49" s="15" cm="1">
        <f t="array" ref="T49">MMS_Dairy_LeachingAndRunoff_Equations.VEERG_4_3_1_6__1_AnnualEmissionsFromLeachingAndRunoffFromMMS(T29,$I$43,$I$44)</f>
        <v>1.5849692905442329E-4</v>
      </c>
      <c r="U49" s="15" cm="1">
        <f t="array" ref="U49">MMS_Dairy_LeachingAndRunoff_Equations.VEERG_4_3_1_6__1_AnnualEmissionsFromLeachingAndRunoffFromMMS(U29,$I$43,$I$44)</f>
        <v>6.6351461180375439E-5</v>
      </c>
      <c r="V49" s="16" t="str">
        <f>$E$40</f>
        <v>t N2O</v>
      </c>
    </row>
    <row r="50" spans="1:22" ht="20.100000000000001" customHeight="1" x14ac:dyDescent="0.25">
      <c r="A50" s="5" t="str">
        <f>HYPERLINK("#'14.1.1-2 Purchased electricity'!A1", "14.1.1-2 Purchased electricity")</f>
        <v>14.1.1-2 Purchased electricity</v>
      </c>
      <c r="D50" s="15" t="str">
        <f>INDEX(X_Table_Dairy_ProductionSystems_Method1,4,1)</f>
        <v>Feed pad</v>
      </c>
      <c r="E50" s="15" t="s">
        <v>75</v>
      </c>
      <c r="F50" s="15" cm="1">
        <f t="array" ref="F50">MMS_Dairy_LeachingAndRunoff_Equations.VEERG_4_3_1_6__1_AnnualEmissionsFromLeachingAndRunoffFromMMS(F30,$I$43,$I$44)</f>
        <v>7.8172377930733959E-4</v>
      </c>
      <c r="G50" s="15" cm="1">
        <f t="array" ref="G50">MMS_Dairy_LeachingAndRunoff_Equations.VEERG_4_3_1_6__1_AnnualEmissionsFromLeachingAndRunoffFromMMS(G30,$I$43,$I$44)</f>
        <v>3.5705677344317308E-4</v>
      </c>
      <c r="H50" s="15" cm="1">
        <f t="array" ref="H50">MMS_Dairy_LeachingAndRunoff_Equations.VEERG_4_3_1_6__1_AnnualEmissionsFromLeachingAndRunoffFromMMS(H30,$I$43,$I$44)</f>
        <v>1.4221193683448539E-4</v>
      </c>
      <c r="I50" s="15" cm="1">
        <f t="array" ref="I50">MMS_Dairy_LeachingAndRunoff_Equations.VEERG_4_3_1_6__1_AnnualEmissionsFromLeachingAndRunoffFromMMS(I30,$I$43,$I$44)</f>
        <v>4.4883448545866232E-4</v>
      </c>
      <c r="J50" s="15" cm="1">
        <f t="array" ref="J50">MMS_Dairy_LeachingAndRunoff_Equations.VEERG_4_3_1_6__1_AnnualEmissionsFromLeachingAndRunoffFromMMS(J30,$I$43,$I$44)</f>
        <v>1.8789527416079047E-4</v>
      </c>
      <c r="K50" s="16"/>
      <c r="O50" s="15" t="str">
        <f>INDEX(X_Table_Dairy_ProductionSystems_Method1,4,1)</f>
        <v>Feed pad</v>
      </c>
      <c r="P50" s="15" t="s">
        <v>75</v>
      </c>
      <c r="Q50" s="15" cm="1">
        <f t="array" ref="Q50">MMS_Dairy_LeachingAndRunoff_Equations.VEERG_4_3_1_6__1_AnnualEmissionsFromLeachingAndRunoffFromMMS(Q30,$I$43,$I$44)</f>
        <v>7.8172377930733959E-4</v>
      </c>
      <c r="R50" s="15" cm="1">
        <f t="array" ref="R50">MMS_Dairy_LeachingAndRunoff_Equations.VEERG_4_3_1_6__1_AnnualEmissionsFromLeachingAndRunoffFromMMS(R30,$I$43,$I$44)</f>
        <v>3.5705677344317308E-4</v>
      </c>
      <c r="S50" s="15" cm="1">
        <f t="array" ref="S50">MMS_Dairy_LeachingAndRunoff_Equations.VEERG_4_3_1_6__1_AnnualEmissionsFromLeachingAndRunoffFromMMS(S30,$I$43,$I$44)</f>
        <v>1.4221193683448539E-4</v>
      </c>
      <c r="T50" s="15" cm="1">
        <f t="array" ref="T50">MMS_Dairy_LeachingAndRunoff_Equations.VEERG_4_3_1_6__1_AnnualEmissionsFromLeachingAndRunoffFromMMS(T30,$I$43,$I$44)</f>
        <v>4.4883448545866232E-4</v>
      </c>
      <c r="U50" s="15" cm="1">
        <f t="array" ref="U50">MMS_Dairy_LeachingAndRunoff_Equations.VEERG_4_3_1_6__1_AnnualEmissionsFromLeachingAndRunoffFromMMS(U30,$I$43,$I$44)</f>
        <v>1.8789527416079047E-4</v>
      </c>
      <c r="V50" s="16"/>
    </row>
    <row r="51" spans="1:22" ht="20.100000000000001" customHeight="1" x14ac:dyDescent="0.25">
      <c r="A51" s="5" t="str">
        <f>HYPERLINK("#'15 Scope 3'!A1", "15 Scope 3")</f>
        <v>15 Scope 3</v>
      </c>
    </row>
    <row r="52" spans="1:22" ht="20.100000000000001" customHeight="1" x14ac:dyDescent="0.25">
      <c r="A52" s="5" t="str">
        <f>HYPERLINK("#'Calcs - Manure sent off-site'!A1", "Calcs - Manure sent off-site")</f>
        <v>Calcs - Manure sent off-site</v>
      </c>
      <c r="D52" s="88" t="s">
        <v>504</v>
      </c>
      <c r="E52" s="91">
        <f>SUM(F49:J50)</f>
        <v>2.5949275378480772E-3</v>
      </c>
      <c r="F52" s="90" t="str">
        <f>$E$40</f>
        <v>t N2O</v>
      </c>
      <c r="O52" s="88" t="s">
        <v>504</v>
      </c>
      <c r="P52" s="91">
        <f>SUM(Q49:U50)</f>
        <v>2.5949275378480772E-3</v>
      </c>
      <c r="Q52" s="90" t="str">
        <f>$E$40</f>
        <v>t N2O</v>
      </c>
    </row>
    <row r="53" spans="1:22" ht="20.100000000000001" customHeight="1" x14ac:dyDescent="0.25"/>
    <row r="54" spans="1:22" ht="20.100000000000001" customHeight="1" x14ac:dyDescent="0.25">
      <c r="D54" s="131" t="str" cm="1">
        <f t="array" ref="D54:E55">Common_Equations.Common_ConvertN2OToCO2e_Arguments()</f>
        <v>EN2O</v>
      </c>
      <c r="E54" s="134" t="str">
        <v>Nitrous oxide emissions (t N2O)</v>
      </c>
      <c r="F54" s="135"/>
      <c r="G54" s="15">
        <f>VEERG_4_3_1_6__1_AnnualEmissionsFromLeachingAndRunoffFromMMS_Result_Method1</f>
        <v>2.5949275378480772E-3</v>
      </c>
      <c r="O54" s="131" t="str" cm="1">
        <f t="array" ref="O54:P55">Common_Equations.Common_ConvertN2OToCO2e_Arguments()</f>
        <v>EN2O</v>
      </c>
      <c r="P54" s="134" t="str">
        <v>Nitrous oxide emissions (t N2O)</v>
      </c>
      <c r="Q54" s="135"/>
      <c r="R54" s="15">
        <f>VEERG_4_3_1_6__1_AnnualEmissionsFromLeachingAndRunoffFromMMS_Result_Method2</f>
        <v>2.5949275378480772E-3</v>
      </c>
    </row>
    <row r="55" spans="1:22" ht="20.100000000000001" customHeight="1" x14ac:dyDescent="0.25">
      <c r="A55" s="83" t="s">
        <v>1</v>
      </c>
      <c r="D55" s="131" t="str">
        <v>GWPN2O</v>
      </c>
      <c r="E55" s="134" t="str">
        <v>Global warming potential for nitrous oxide (t CO2-e / t N2O)</v>
      </c>
      <c r="F55" s="135"/>
      <c r="G55" s="15">
        <f>Common_InputFunctions.Utility_LookupValueInTableNumber("N2O",Table_GWPData[Gas],Table_GWPData[CO2-e factor])</f>
        <v>265</v>
      </c>
      <c r="O55" s="131" t="str">
        <v>GWPN2O</v>
      </c>
      <c r="P55" s="134" t="str">
        <v>Global warming potential for nitrous oxide (t CO2-e / t N2O)</v>
      </c>
      <c r="Q55" s="135"/>
      <c r="R55" s="15">
        <f>Common_InputFunctions.Utility_LookupValueInTableNumber("N2O",Table_GWPData[Gas],Table_GWPData[CO2-e factor])</f>
        <v>265</v>
      </c>
    </row>
    <row r="56" spans="1:22" ht="20.100000000000001" customHeight="1" x14ac:dyDescent="0.25">
      <c r="A56" s="5" t="str">
        <f>HYPERLINK("#'Constants - Dairy'!A1", "Constants - Dairy")</f>
        <v>Constants - Dairy</v>
      </c>
    </row>
    <row r="57" spans="1:22" ht="20.100000000000001" customHeight="1" x14ac:dyDescent="0.25">
      <c r="A57" s="5" t="str">
        <f>HYPERLINK("#'Constants - Ag Residue'!A1", "Constants - Ag residue")</f>
        <v>Constants - Ag residue</v>
      </c>
      <c r="D57" s="89" t="s">
        <v>493</v>
      </c>
      <c r="E57" s="89" cm="1">
        <f t="array" ref="E57">Common_Equations.Common_ConvertN2OToCO2e(G54,G55)</f>
        <v>0.68765579752974049</v>
      </c>
      <c r="F57" s="94" t="str" cm="1">
        <f t="array" ref="F57">Common_Equations.Common_ConvertN2OToCO2e_Unit()</f>
        <v>t CO2e</v>
      </c>
      <c r="O57" s="89" t="s">
        <v>493</v>
      </c>
      <c r="P57" s="89" cm="1">
        <f t="array" ref="P57">Common_Equations.Common_ConvertN2OToCO2e(R54,R55)</f>
        <v>0.68765579752974049</v>
      </c>
      <c r="Q57" s="94" t="str" cm="1">
        <f t="array" ref="Q57">Common_Equations.Common_ConvertN2OToCO2e_Unit()</f>
        <v>t CO2e</v>
      </c>
    </row>
    <row r="58" spans="1:22" ht="20.100000000000001" customHeight="1" x14ac:dyDescent="0.25">
      <c r="A58" s="5" t="str">
        <f>HYPERLINK("#'Constants - Common Livestock'!A1", "Constants - Common Livestock")</f>
        <v>Constants - Common Livestock</v>
      </c>
    </row>
    <row r="59" spans="1:22" ht="20.100000000000001" customHeight="1" x14ac:dyDescent="0.25">
      <c r="A59" s="5" t="str">
        <f>HYPERLINK("#'Constants - Electricity'!A1", "Constants - Electricity")</f>
        <v>Constants - Electricity</v>
      </c>
    </row>
    <row r="60" spans="1:22" ht="20.100000000000001" customHeight="1" x14ac:dyDescent="0.25">
      <c r="A60" s="5" t="str">
        <f>HYPERLINK("#'Constants - Fertiliser'!A1", "Constants - Fertiliser")</f>
        <v>Constants - Fertiliser</v>
      </c>
    </row>
    <row r="61" spans="1:22" ht="20.100000000000001" customHeight="1" x14ac:dyDescent="0.25">
      <c r="A61" s="5" t="str">
        <f>HYPERLINK("#'Constants - Fuel'!A1", "Constants - Fuel")</f>
        <v>Constants - Fuel</v>
      </c>
    </row>
    <row r="62" spans="1:22" ht="20.100000000000001" customHeight="1" x14ac:dyDescent="0.25">
      <c r="A62" s="5" t="str">
        <f>HYPERLINK("#'Constants - Scope 3'!A1", "Constants - Scope 3")</f>
        <v>Constants - Scope 3</v>
      </c>
    </row>
    <row r="63" spans="1:22" ht="20.100000000000001" customHeight="1" x14ac:dyDescent="0.25">
      <c r="A63" s="5" t="str">
        <f>HYPERLINK("#'Constants - Common'!A1", "Constants - Common")</f>
        <v>Constants - Common</v>
      </c>
    </row>
    <row r="64" spans="1:22"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270B827B-5D1F-48A2-8030-53112AFD5673}"/>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1178-42FC-425A-8DE2-881A41F4BCFA}">
  <sheetPr>
    <tabColor rgb="FF008000"/>
  </sheetPr>
  <dimension ref="A1:W207"/>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style="138"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518</v>
      </c>
      <c r="M1" s="138"/>
    </row>
    <row r="2" spans="1:23" s="3" customFormat="1" ht="20.100000000000001" customHeight="1" x14ac:dyDescent="0.25">
      <c r="A2"/>
      <c r="M2" s="138"/>
    </row>
    <row r="3" spans="1:23"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MMS_Dairy_ManureAppliedToSoils_Equations.VEERG_4_3_1_8__1_MassOfNitrogenAppliedToSoilsScope1_Title()</f>
        <v>Mass of nitrogen from manure applied to soils for scope 1 emissions</v>
      </c>
    </row>
    <row r="6" spans="1:23" ht="20.100000000000001" customHeight="1" x14ac:dyDescent="0.25">
      <c r="A6" s="5" t="str">
        <f>HYPERLINK("#'Results'!A1", "Results")</f>
        <v>Results</v>
      </c>
      <c r="D6" s="17" t="str" cm="1">
        <f t="array" ref="D6">MMS_Dairy_ManureAppliedToSoils_Equations.VEERG_4_3_1_8__1_MassOfNitrogenAppliedToSoilsScope1_Source()</f>
        <v>VEERG 2026: 4.3.1.8, Equation (1)</v>
      </c>
    </row>
    <row r="7" spans="1:23" ht="20.100000000000001" customHeight="1" x14ac:dyDescent="0.25">
      <c r="D7" s="117" t="s">
        <v>343</v>
      </c>
      <c r="E7" s="117" t="str" cm="1">
        <f t="array" aca="1" ref="E7" ca="1">Common_InputFunctions.Utility_DisplayFunctionName($F$76)</f>
        <v>=MMS_Dairy_ManureAppliedToSoils_Equations.VEERG_4_3_1_8__1_MassOfNitrogenAppliedToSoilsScope1</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344</v>
      </c>
      <c r="E10" s="1" t="str" cm="1">
        <f t="array" ref="E10">MMS_Dairy_ManureAppliedToSoils_Equations.VEERG_4_3_1_8__1_MassOfNitrogenAppliedToSoilsScope1_Variable()</f>
        <v>MNSoil_scope1</v>
      </c>
    </row>
    <row r="11" spans="1:23" ht="20.100000000000001" customHeight="1" x14ac:dyDescent="0.25">
      <c r="A11" s="5" t="str">
        <f>HYPERLINK("#'Input - Site'!A1", "Site")</f>
        <v>Site</v>
      </c>
      <c r="D11" s="76" t="s">
        <v>118</v>
      </c>
      <c r="E11" s="9" t="str" cm="1">
        <f t="array" ref="E11">MMS_Dairy_ManureAppliedToSoils_Equations.VEERG_4_3_1_8__1_MassOfNitrogenAppliedToSoilsScope1_Unit()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7">_xlfn.CHOOSECOLS(MMS_Dairy_ManureAppliedToSoils_Equations.VEERG_4_3_1_8__1_MassOfNitrogenAppliedToSoilsScope1_Arguments(),1,2)</f>
        <v>MN_jm</v>
      </c>
      <c r="E13" s="124" t="str">
        <v>total nitrogen in each MMS for dairy cattle classes</v>
      </c>
      <c r="F13" s="125"/>
      <c r="G13" s="119" t="str" cm="1">
        <f t="array" ref="G13:H17">_xlfn.CHOOSECOLS(MMS_Dairy_ManureAppliedToSoils_Equations.VEERG_4_3_1_8__1_MassOfNitrogenAppliedToSoilsScope1_Arguments(),3,4)</f>
        <v>kg N</v>
      </c>
      <c r="H13" s="127" t="str">
        <v>Calculated from 4.3.1.3 (2)</v>
      </c>
      <c r="I13" s="126" t="str" cm="1">
        <f t="array" aca="1" ref="I13" ca="1">HYPERLINK(Common_InputFunctions.Utility_SourceHyperlink($D$37),$D$37)</f>
        <v>M1_Table_MN_j_m</v>
      </c>
    </row>
    <row r="14" spans="1:23" ht="20.100000000000001" customHeight="1" x14ac:dyDescent="0.25">
      <c r="A14" s="5" t="str">
        <f>HYPERLINK("#'Input - Dairy cattle purchases'!A1", "Dairy cattle purchases")</f>
        <v>Dairy cattle purchases</v>
      </c>
      <c r="D14" s="119" t="str">
        <v>EF_m</v>
      </c>
      <c r="E14" s="124" t="str">
        <v>emission factor for nitrous oxide emissions per MMS</v>
      </c>
      <c r="F14" s="125"/>
      <c r="G14" s="119" t="str">
        <v>kg N2O-N/kg N</v>
      </c>
      <c r="H14" s="127" t="str">
        <v>Constant</v>
      </c>
      <c r="I14" s="126" t="str" cm="1">
        <f t="array" aca="1" ref="I14" ca="1">HYPERLINK(Common_InputFunctions.Utility_SourceHyperlink($D$19),$D$19)</f>
        <v>Table_EF_m</v>
      </c>
    </row>
    <row r="15" spans="1:23" ht="20.100000000000001" customHeight="1" x14ac:dyDescent="0.25">
      <c r="A15" s="5" t="str">
        <f>HYPERLINK("#'Input - Pasture'!A1", "Pasture")</f>
        <v>Pasture</v>
      </c>
      <c r="D15" s="119" t="str">
        <v>FracGASM_m</v>
      </c>
      <c r="E15" s="124" t="str">
        <v>fraction of N volatilised from MMS</v>
      </c>
      <c r="F15" s="125"/>
      <c r="G15" s="119" t="str">
        <v>fraction</v>
      </c>
      <c r="H15" s="127" t="str">
        <v>Constant</v>
      </c>
      <c r="I15" s="126" t="str" cm="1">
        <f t="array" aca="1" ref="I15" ca="1">HYPERLINK(Common_InputFunctions.Utility_SourceHyperlink($D$28),$D$28)</f>
        <v>Table_FracGASM_m</v>
      </c>
    </row>
    <row r="16" spans="1:23" ht="20.100000000000001" customHeight="1" x14ac:dyDescent="0.25">
      <c r="A16" s="5" t="str">
        <f>HYPERLINK("#'Input - Fert Prod System'!A1", "Fert Prod System")</f>
        <v>Fert Prod System</v>
      </c>
      <c r="D16" s="119" t="str">
        <v>MNLeach_jm</v>
      </c>
      <c r="E16" s="124" t="str">
        <v>mass of N lost through leaching and runoff from each MMS</v>
      </c>
      <c r="F16" s="125"/>
      <c r="G16" s="119" t="str">
        <v>kg N</v>
      </c>
      <c r="H16" s="127" t="str">
        <v>Calculated from 4.3.1.6 (2)</v>
      </c>
      <c r="I16" s="126" t="str" cm="1">
        <f t="array" aca="1" ref="I16" ca="1">HYPERLINK(Common_InputFunctions.Utility_SourceHyperlink($D$49),$D$49)</f>
        <v>M1_Table_MN_leach_j_m</v>
      </c>
    </row>
    <row r="17" spans="1:9" ht="20.100000000000001" customHeight="1" x14ac:dyDescent="0.25">
      <c r="A17" s="5" t="str">
        <f>HYPERLINK("#'Input - Fertiliser'!A1", "Fertiliser")</f>
        <v>Fertiliser</v>
      </c>
      <c r="D17" s="119" t="str">
        <v>PF_scope</v>
      </c>
      <c r="E17" s="124" t="str">
        <v>fraction of manure applied to soil within farm boundary</v>
      </c>
      <c r="F17" s="125"/>
      <c r="G17" s="119" t="str">
        <v>fraction</v>
      </c>
      <c r="H17" s="120" t="str">
        <v>Input</v>
      </c>
      <c r="I17" s="126" t="str" cm="1">
        <f t="array" aca="1" ref="I17" ca="1">HYPERLINK(Common_InputFunctions.Utility_SourceHyperlink($D$61),$D$61)</f>
        <v>Table_PF_scope</v>
      </c>
    </row>
    <row r="18" spans="1:9" ht="20.100000000000001" customHeight="1" x14ac:dyDescent="0.25">
      <c r="A18" s="5" t="str">
        <f>HYPERLINK("#'Input - Fuel'!A1", "Fuel")</f>
        <v>Fuel</v>
      </c>
    </row>
    <row r="19" spans="1:9" ht="20.100000000000001" customHeight="1" x14ac:dyDescent="0.25">
      <c r="A19" s="5" t="str">
        <f>HYPERLINK("#'Input - Electricity'!A1", "Electricity")</f>
        <v>Electricity</v>
      </c>
      <c r="D19" s="121" t="s">
        <v>485</v>
      </c>
    </row>
    <row r="20" spans="1:9" ht="20.100000000000001" customHeight="1" x14ac:dyDescent="0.25">
      <c r="A20" s="5" t="str">
        <f>HYPERLINK("#'Input - Common farm inputs'!A1", "Common farm inputs")</f>
        <v>Common farm inputs</v>
      </c>
      <c r="D20" s="122" t="s">
        <v>486</v>
      </c>
    </row>
    <row r="21" spans="1:9" ht="20.100000000000001" customHeight="1" x14ac:dyDescent="0.25">
      <c r="A21" s="5" t="str">
        <f>HYPERLINK("#'Input - Crop pasture farm input'!A1", "Crop pasture farm input")</f>
        <v>Crop pasture farm input</v>
      </c>
      <c r="D21" s="123" t="s">
        <v>388</v>
      </c>
      <c r="E21" s="123" t="s">
        <v>487</v>
      </c>
    </row>
    <row r="22" spans="1:9" ht="20.100000000000001" customHeight="1" x14ac:dyDescent="0.25">
      <c r="A22" s="5" t="str">
        <f>HYPERLINK("#'Input - Livestock farm Inputs'!A1", "Livestock farm Inputs")</f>
        <v>Livestock farm Inputs</v>
      </c>
      <c r="D22" s="15" t="str" cm="1">
        <f t="array" ref="D22:D26">Table_SourceData_Dairy_EFmFracGASM[NIR reference]</f>
        <v>Pasture range and paddock</v>
      </c>
      <c r="E22" s="15" cm="1">
        <f t="array" ref="E22:E26">Table_SourceData_Dairy_EFmFracGASM[EFm]</f>
        <v>0</v>
      </c>
    </row>
    <row r="23" spans="1:9" ht="20.100000000000001" customHeight="1" x14ac:dyDescent="0.25">
      <c r="A23" s="5" t="str">
        <f>HYPERLINK("#'Input - Freight'!A1", "Freight")</f>
        <v>Freight</v>
      </c>
      <c r="D23" s="15" t="str">
        <v>Anaerobic lagoon</v>
      </c>
      <c r="E23" s="15">
        <v>0</v>
      </c>
    </row>
    <row r="24" spans="1:9" ht="20.100000000000001" customHeight="1" x14ac:dyDescent="0.25">
      <c r="A24" s="5" t="str">
        <f>HYPERLINK("#'Input - Solid waste'!A1", "Solid waste")</f>
        <v>Solid waste</v>
      </c>
      <c r="D24" s="15" t="str">
        <v>Sump and dispersal system</v>
      </c>
      <c r="E24" s="15">
        <v>0</v>
      </c>
    </row>
    <row r="25" spans="1:9" ht="20.100000000000001" customHeight="1" x14ac:dyDescent="0.25">
      <c r="A25" s="5" t="str">
        <f>HYPERLINK("#'Input - Manure sent off-site'!A1", "Manure sent off-site")</f>
        <v>Manure sent off-site</v>
      </c>
      <c r="D25" s="15" t="str">
        <v>Drains to paddock</v>
      </c>
      <c r="E25" s="15">
        <v>0</v>
      </c>
    </row>
    <row r="26" spans="1:9" ht="20.100000000000001" customHeight="1" x14ac:dyDescent="0.25">
      <c r="A26" s="5" t="str">
        <f>HYPERLINK("#'Input - Data quality'!A1", "Data quality")</f>
        <v>Data quality</v>
      </c>
      <c r="D26" s="15" t="str">
        <v>Solid storage</v>
      </c>
      <c r="E26" s="15">
        <v>5.0000000000000001E-3</v>
      </c>
    </row>
    <row r="27" spans="1:9" ht="20.100000000000001" customHeight="1" x14ac:dyDescent="0.25"/>
    <row r="28" spans="1:9" ht="20.100000000000001" customHeight="1" x14ac:dyDescent="0.25">
      <c r="D28" s="121" t="s">
        <v>495</v>
      </c>
    </row>
    <row r="29" spans="1:9" ht="20.100000000000001" customHeight="1" x14ac:dyDescent="0.25">
      <c r="A29" s="6" t="s">
        <v>2</v>
      </c>
      <c r="D29" s="122" t="s">
        <v>496</v>
      </c>
    </row>
    <row r="30" spans="1:9" ht="20.100000000000001" customHeight="1" x14ac:dyDescent="0.25">
      <c r="A30" s="5" t="str">
        <f>HYPERLINK("#'3.3.1.1-2 Enteric Methane'!A1", "3.3.1.1-2 Enteric methane")</f>
        <v>3.3.1.1-2 Enteric methane</v>
      </c>
      <c r="D30" s="123" t="s">
        <v>388</v>
      </c>
      <c r="E30" s="123" t="s">
        <v>497</v>
      </c>
    </row>
    <row r="31" spans="1:9" ht="20.100000000000001" customHeight="1" x14ac:dyDescent="0.25">
      <c r="A31" s="5" t="str">
        <f>HYPERLINK("#'4.3.1.1-2 Methane'!A1", "4.3.1.1-2 Manure methane")</f>
        <v>4.3.1.1-2 Manure methane</v>
      </c>
      <c r="D31" s="15" t="str" cm="1">
        <f t="array" ref="D31:D35">Table_SourceData_Dairy_EFmFracGASM[NIR reference]</f>
        <v>Pasture range and paddock</v>
      </c>
      <c r="E31" s="15" cm="1">
        <f t="array" ref="E31:E35">Table_SourceData_Dairy_EFmFracGASM[FracGASMm]</f>
        <v>0</v>
      </c>
      <c r="F31" s="16" t="str">
        <f>'Constants - Dairy'!$D$84</f>
        <v>kg N2O-N/kg N excreted</v>
      </c>
    </row>
    <row r="32" spans="1:9" ht="20.100000000000001" customHeight="1" x14ac:dyDescent="0.25">
      <c r="A32" s="5" t="str">
        <f>HYPERLINK("#'4.3.1.3-4 Direct N20'!A1", "4.3.1.3-4 Direct N20")</f>
        <v>4.3.1.3-4 Direct N20</v>
      </c>
      <c r="D32" s="15" t="str">
        <v>Anaerobic lagoon</v>
      </c>
      <c r="E32" s="15">
        <v>0.35</v>
      </c>
      <c r="F32" s="16" t="str">
        <f>'Constants - Dairy'!$D$84</f>
        <v>kg N2O-N/kg N excreted</v>
      </c>
    </row>
    <row r="33" spans="1:22" ht="20.100000000000001" customHeight="1" x14ac:dyDescent="0.25">
      <c r="A33" s="5" t="str">
        <f>HYPERLINK("#'4.3.1.5 Atmos deposition'!A1", "4.3.1.5 Atmos deposition")</f>
        <v>4.3.1.5 Atmos deposition</v>
      </c>
      <c r="D33" s="15" t="str">
        <v>Sump and dispersal system</v>
      </c>
      <c r="E33" s="15">
        <v>7.0000000000000007E-2</v>
      </c>
      <c r="F33" s="16" t="str">
        <f>'Constants - Dairy'!$D$84</f>
        <v>kg N2O-N/kg N excreted</v>
      </c>
    </row>
    <row r="34" spans="1:22" ht="20.100000000000001" customHeight="1" x14ac:dyDescent="0.25">
      <c r="A34" s="5" t="str">
        <f>HYPERLINK("#'4.3.1.6-7 Leaching and runoff'!A1", "4.3.1.6-7 Leaching &amp; runoff")</f>
        <v>4.3.1.6-7 Leaching &amp; runoff</v>
      </c>
      <c r="D34" s="15" t="str">
        <v>Drains to paddock</v>
      </c>
      <c r="E34" s="15">
        <v>0.2</v>
      </c>
      <c r="F34" s="16" t="str">
        <f>'Constants - Dairy'!$D$84</f>
        <v>kg N2O-N/kg N excreted</v>
      </c>
    </row>
    <row r="35" spans="1:22" ht="20.100000000000001" customHeight="1" x14ac:dyDescent="0.25">
      <c r="A35" s="118" t="str">
        <f>HYPERLINK("#'4.3.1.8 Manure applied to soils'!A1", "4.3.1.8 Manure applied to soils")</f>
        <v>4.3.1.8 Manure applied to soils</v>
      </c>
      <c r="D35" s="15" t="str">
        <v>Solid storage</v>
      </c>
      <c r="E35" s="15">
        <v>0.3</v>
      </c>
      <c r="F35" s="16" t="str">
        <f>'Constants - Dairy'!$D$84</f>
        <v>kg N2O-N/kg N excreted</v>
      </c>
    </row>
    <row r="36" spans="1:22" ht="20.100000000000001" customHeight="1" x14ac:dyDescent="0.25">
      <c r="A36" s="5" t="str">
        <f>HYPERLINK("#'4.3.1.9 Soil direct N2O'!A1", "4.3.1.9 Soil direct N2O")</f>
        <v>4.3.1.9 Soil direct N2O</v>
      </c>
    </row>
    <row r="37" spans="1:22" ht="20.100000000000001" customHeight="1" x14ac:dyDescent="0.25">
      <c r="A37" s="5" t="str">
        <f>HYPERLINK("#'4.3.1.10-11 Soil Atmos Dep'!A1", "4.3.1.10-11 Soil Atmos Deposition")</f>
        <v>4.3.1.10-11 Soil Atmos Deposition</v>
      </c>
      <c r="D37" s="121" t="s">
        <v>481</v>
      </c>
      <c r="M37"/>
      <c r="O37" s="121" t="s">
        <v>482</v>
      </c>
    </row>
    <row r="38" spans="1:22" ht="20.100000000000001" customHeight="1" x14ac:dyDescent="0.25">
      <c r="A38" s="5" t="str">
        <f>HYPERLINK("#'4.3.1.12-13 Soil leach runoff'!A1", "4.3.1.12-13 Soil leach &amp; runoff")</f>
        <v>4.3.1.12-13 Soil leach &amp; runoff</v>
      </c>
      <c r="D38" s="122" t="s">
        <v>483</v>
      </c>
      <c r="M38"/>
      <c r="O38" s="122" t="s">
        <v>484</v>
      </c>
    </row>
    <row r="39" spans="1:22" ht="20.100000000000001" customHeight="1" x14ac:dyDescent="0.25">
      <c r="A39" s="5" t="str">
        <f>HYPERLINK("#'5.1.1.1-2 Inorganic fert N2O'!A1", "5.1.1.1-2 Inorganic fert N2O")</f>
        <v>5.1.1.1-2 Inorganic fert N2O</v>
      </c>
      <c r="D39" s="123" t="s">
        <v>161</v>
      </c>
      <c r="E39" s="123" t="s">
        <v>388</v>
      </c>
      <c r="F39" s="123" t="s">
        <v>295</v>
      </c>
      <c r="G39" s="123" t="s">
        <v>296</v>
      </c>
      <c r="H39" s="123" t="s">
        <v>297</v>
      </c>
      <c r="I39" s="123" t="s">
        <v>298</v>
      </c>
      <c r="J39" s="123" t="s">
        <v>299</v>
      </c>
      <c r="M39"/>
      <c r="O39" s="123" t="s">
        <v>161</v>
      </c>
      <c r="P39" s="123" t="s">
        <v>388</v>
      </c>
      <c r="Q39" s="123" t="s">
        <v>295</v>
      </c>
      <c r="R39" s="123" t="s">
        <v>296</v>
      </c>
      <c r="S39" s="123" t="s">
        <v>297</v>
      </c>
      <c r="T39" s="123" t="s">
        <v>298</v>
      </c>
      <c r="U39" s="123" t="s">
        <v>299</v>
      </c>
    </row>
    <row r="40" spans="1:22" ht="20.100000000000001" customHeight="1" x14ac:dyDescent="0.25">
      <c r="A40" s="5" t="str">
        <f>HYPERLINK("#'5.1.1.3-4 Inorganic fert CO2'!A1", "5.1.1.3-4 Inorganic fert CO2")</f>
        <v>5.1.1.3-4 Inorganic fert CO2</v>
      </c>
      <c r="D40" s="15" t="str">
        <f>INDEX(X_Table_Dairy_ProductionSystems_Method1,3,1)</f>
        <v>Milking shed</v>
      </c>
      <c r="E40" s="15" t="str">
        <f>INDEX(X_Table_Dairy_Stage1MMS_1_AnaerobicLagoon,2,1)</f>
        <v>Anaerobic lagoon</v>
      </c>
      <c r="F40" s="15">
        <f>INDEX(M1_Table_MN_j_m,2,3)</f>
        <v>399.24605684746678</v>
      </c>
      <c r="G40" s="15">
        <f>INDEX(M1_Table_MN_j_m,2,4)</f>
        <v>182.35790267782079</v>
      </c>
      <c r="H40" s="15">
        <f>INDEX(M1_Table_MN_j_m,2,5)</f>
        <v>72.631224123843424</v>
      </c>
      <c r="I40" s="15">
        <f>INDEX(M1_Table_MN_j_m,2,6)</f>
        <v>229.23109573986844</v>
      </c>
      <c r="J40" s="15">
        <f>INDEX(M1_Table_MN_j_m,2,7)</f>
        <v>95.962857079055411</v>
      </c>
      <c r="K40" s="16" t="str">
        <f>$G$13</f>
        <v>kg N</v>
      </c>
      <c r="M40"/>
      <c r="O40" s="15" t="str">
        <f>INDEX(X_Table_Dairy_ProductionSystems_Method1,3,1)</f>
        <v>Milking shed</v>
      </c>
      <c r="P40" s="15" t="str">
        <f>INDEX(X_Table_Dairy_Stage1MMS_1_AnaerobicLagoon,2,1)</f>
        <v>Anaerobic lagoon</v>
      </c>
      <c r="Q40" s="15">
        <f>INDEX(M2_Table_MN_j_m,2,3)</f>
        <v>399.24605684746678</v>
      </c>
      <c r="R40" s="15">
        <f>INDEX(M2_Table_MN_j_m,2,4)</f>
        <v>182.35790267782079</v>
      </c>
      <c r="S40" s="15">
        <f>INDEX(M2_Table_MN_j_m,2,5)</f>
        <v>72.631224123843424</v>
      </c>
      <c r="T40" s="15">
        <f>INDEX(M2_Table_MN_j_m,2,6)</f>
        <v>229.23109573986844</v>
      </c>
      <c r="U40" s="15">
        <f>INDEX(M2_Table_MN_j_m,2,7)</f>
        <v>95.962857079055411</v>
      </c>
      <c r="V40" s="16" t="str">
        <f>$G$13</f>
        <v>kg N</v>
      </c>
    </row>
    <row r="41" spans="1:22" ht="20.100000000000001" customHeight="1" x14ac:dyDescent="0.25">
      <c r="A41" s="5" t="str">
        <f>HYPERLINK("#'5.2.1.1-2 Organic Fert N2O'!A1", "5.2.1.1-2 Organic fert N2O")</f>
        <v>5.2.1.1-2 Organic fert N2O</v>
      </c>
      <c r="D41" s="15" t="str">
        <f>INDEX(X_Table_Dairy_ProductionSystems_Method1,3,1)</f>
        <v>Milking shed</v>
      </c>
      <c r="E41" s="15" t="str">
        <f>INDEX(X_Table_Dairy_Stage1MMS_1_SumpAndDispersal,2,1)</f>
        <v>Sump and dispersal system</v>
      </c>
      <c r="F41" s="15">
        <f>INDEX(M1_Table_MN_j_m,3,3)</f>
        <v>399.24605684746678</v>
      </c>
      <c r="G41" s="15">
        <f>INDEX(M1_Table_MN_j_m,3,4)</f>
        <v>182.35790267782079</v>
      </c>
      <c r="H41" s="15">
        <f>INDEX(M1_Table_MN_j_m,3,5)</f>
        <v>72.631224123843424</v>
      </c>
      <c r="I41" s="15">
        <f>INDEX(M1_Table_MN_j_m,3,6)</f>
        <v>229.23109573986844</v>
      </c>
      <c r="J41" s="15">
        <f>INDEX(M1_Table_MN_j_m,3,7)</f>
        <v>95.962857079055411</v>
      </c>
      <c r="K41" s="16"/>
      <c r="M41"/>
      <c r="O41" s="15" t="str">
        <f>INDEX(X_Table_Dairy_ProductionSystems_Method1,3,1)</f>
        <v>Milking shed</v>
      </c>
      <c r="P41" s="15" t="str">
        <f>INDEX(X_Table_Dairy_Stage1MMS_1_SumpAndDispersal,2,1)</f>
        <v>Sump and dispersal system</v>
      </c>
      <c r="Q41" s="15">
        <f>INDEX(M2_Table_MN_j_m,3,3)</f>
        <v>399.24605684746678</v>
      </c>
      <c r="R41" s="15">
        <f>INDEX(M2_Table_MN_j_m,3,4)</f>
        <v>182.35790267782079</v>
      </c>
      <c r="S41" s="15">
        <f>INDEX(M2_Table_MN_j_m,3,5)</f>
        <v>72.631224123843424</v>
      </c>
      <c r="T41" s="15">
        <f>INDEX(M2_Table_MN_j_m,3,6)</f>
        <v>229.23109573986844</v>
      </c>
      <c r="U41" s="15">
        <f>INDEX(M2_Table_MN_j_m,3,7)</f>
        <v>95.962857079055411</v>
      </c>
      <c r="V41" s="16"/>
    </row>
    <row r="42" spans="1:22" ht="20.100000000000001" customHeight="1" x14ac:dyDescent="0.25">
      <c r="A42" s="5" t="str">
        <f>HYPERLINK("#'5.3.1.1-2 Lime CO2'!A1", "5.3.1.1-2 Lime CO2")</f>
        <v>5.3.1.1-2 Lime CO2</v>
      </c>
      <c r="D42" s="15" t="str">
        <f>INDEX(X_Table_Dairy_ProductionSystems_Method1,3,1)</f>
        <v>Milking shed</v>
      </c>
      <c r="E42" s="15" t="str">
        <f>INDEX(X_Table_Dairy_Stage1MMS_1_DrainsToPaddock,2,1)</f>
        <v>Drains to paddock</v>
      </c>
      <c r="F42" s="15">
        <f>INDEX(M1_Table_MN_j_m,4,3)</f>
        <v>399.24605684746678</v>
      </c>
      <c r="G42" s="15">
        <f>INDEX(M1_Table_MN_j_m,4,4)</f>
        <v>182.35790267782079</v>
      </c>
      <c r="H42" s="15">
        <f>INDEX(M1_Table_MN_j_m,4,5)</f>
        <v>72.631224123843424</v>
      </c>
      <c r="I42" s="15">
        <f>INDEX(M1_Table_MN_j_m,4,6)</f>
        <v>229.23109573986844</v>
      </c>
      <c r="J42" s="15">
        <f>INDEX(M1_Table_MN_j_m,4,7)</f>
        <v>95.962857079055411</v>
      </c>
      <c r="K42" s="16"/>
      <c r="M42"/>
      <c r="O42" s="15" t="str">
        <f>INDEX(X_Table_Dairy_ProductionSystems_Method1,3,1)</f>
        <v>Milking shed</v>
      </c>
      <c r="P42" s="15" t="str">
        <f>INDEX(X_Table_Dairy_Stage1MMS_1_DrainsToPaddock,2,1)</f>
        <v>Drains to paddock</v>
      </c>
      <c r="Q42" s="15">
        <f>INDEX(M2_Table_MN_j_m,4,3)</f>
        <v>399.24605684746678</v>
      </c>
      <c r="R42" s="15">
        <f>INDEX(M2_Table_MN_j_m,4,4)</f>
        <v>182.35790267782079</v>
      </c>
      <c r="S42" s="15">
        <f>INDEX(M2_Table_MN_j_m,4,5)</f>
        <v>72.631224123843424</v>
      </c>
      <c r="T42" s="15">
        <f>INDEX(M2_Table_MN_j_m,4,6)</f>
        <v>229.23109573986844</v>
      </c>
      <c r="U42" s="15">
        <f>INDEX(M2_Table_MN_j_m,4,7)</f>
        <v>95.962857079055411</v>
      </c>
      <c r="V42" s="16"/>
    </row>
    <row r="43" spans="1:22" ht="20.100000000000001" customHeight="1" x14ac:dyDescent="0.25">
      <c r="A43" s="5" t="str">
        <f>HYPERLINK("#'5.4.1.1-4 Atmos deposition'!A1", "5.4.1.1-4 Atmos. deposition")</f>
        <v>5.4.1.1-4 Atmos. deposition</v>
      </c>
      <c r="D43" s="15" t="str">
        <f>INDEX(X_Table_Dairy_ProductionSystems_Method1,3,1)</f>
        <v>Milking shed</v>
      </c>
      <c r="E43" s="15" t="s">
        <v>75</v>
      </c>
      <c r="F43" s="15">
        <f>INDEX(M1_Table_MN_j_m,5,3)</f>
        <v>798.49211369493332</v>
      </c>
      <c r="G43" s="15">
        <f>INDEX(M1_Table_MN_j_m,5,4)</f>
        <v>364.71580535564152</v>
      </c>
      <c r="H43" s="15">
        <f>INDEX(M1_Table_MN_j_m,5,5)</f>
        <v>145.26244824768682</v>
      </c>
      <c r="I43" s="15">
        <f>INDEX(M1_Table_MN_j_m,5,6)</f>
        <v>458.46219147973682</v>
      </c>
      <c r="J43" s="15">
        <f>INDEX(M1_Table_MN_j_m,5,7)</f>
        <v>191.92571415811079</v>
      </c>
      <c r="K43" s="16"/>
      <c r="M43"/>
      <c r="O43" s="15" t="str">
        <f>INDEX(X_Table_Dairy_ProductionSystems_Method1,3,1)</f>
        <v>Milking shed</v>
      </c>
      <c r="P43" s="15" t="s">
        <v>75</v>
      </c>
      <c r="Q43" s="15">
        <f>INDEX(M2_Table_MN_j_m,5,3)</f>
        <v>798.49211369493332</v>
      </c>
      <c r="R43" s="15">
        <f>INDEX(M2_Table_MN_j_m,5,4)</f>
        <v>364.71580535564152</v>
      </c>
      <c r="S43" s="15">
        <f>INDEX(M2_Table_MN_j_m,5,5)</f>
        <v>145.26244824768682</v>
      </c>
      <c r="T43" s="15">
        <f>INDEX(M2_Table_MN_j_m,5,6)</f>
        <v>458.46219147973682</v>
      </c>
      <c r="U43" s="15">
        <f>INDEX(M2_Table_MN_j_m,5,7)</f>
        <v>191.92571415811079</v>
      </c>
      <c r="V43" s="16"/>
    </row>
    <row r="44" spans="1:22" ht="20.100000000000001" customHeight="1" x14ac:dyDescent="0.25">
      <c r="A44" s="5" t="str">
        <f>HYPERLINK("#'5.5.1.1-2 Leaching and runoff'!A1", "5.5.1.1-2 Leaching &amp; runoff")</f>
        <v>5.5.1.1-2 Leaching &amp; runoff</v>
      </c>
      <c r="D44" s="15" t="str">
        <f>INDEX(X_Table_Dairy_ProductionSystems_Method1,4,1)</f>
        <v>Feed pad</v>
      </c>
      <c r="E44" s="15" t="str">
        <f>INDEX(X_Table_Dairy_Stage1MMS_2_AnaerobicLagoon,2,1)</f>
        <v>Anaerobic lagoon</v>
      </c>
      <c r="F44" s="15">
        <f>INDEX(M1_Table_MN_j_m,6,3)</f>
        <v>1615.131775428388</v>
      </c>
      <c r="G44" s="15">
        <f>INDEX(M1_Table_MN_j_m,6,4)</f>
        <v>737.72060628754764</v>
      </c>
      <c r="H44" s="15">
        <f>INDEX(M1_Table_MN_j_m,6,5)</f>
        <v>293.82631577373019</v>
      </c>
      <c r="I44" s="15">
        <f>INDEX(M1_Table_MN_j_m,6,6)</f>
        <v>927.34397822037681</v>
      </c>
      <c r="J44" s="15">
        <f>INDEX(M1_Table_MN_j_m,6,7)</f>
        <v>388.21337636526954</v>
      </c>
      <c r="K44" s="16"/>
      <c r="M44"/>
      <c r="O44" s="15" t="str">
        <f>INDEX(X_Table_Dairy_ProductionSystems_Method1,4,1)</f>
        <v>Feed pad</v>
      </c>
      <c r="P44" s="15" t="str">
        <f>INDEX(X_Table_Dairy_Stage1MMS_2_AnaerobicLagoon,2,1)</f>
        <v>Anaerobic lagoon</v>
      </c>
      <c r="Q44" s="15">
        <f>INDEX(M2_Table_MN_j_m,6,3)</f>
        <v>1615.131775428388</v>
      </c>
      <c r="R44" s="15">
        <f>INDEX(M2_Table_MN_j_m,6,4)</f>
        <v>737.72060628754764</v>
      </c>
      <c r="S44" s="15">
        <f>INDEX(M2_Table_MN_j_m,6,5)</f>
        <v>293.82631577373019</v>
      </c>
      <c r="T44" s="15">
        <f>INDEX(M2_Table_MN_j_m,6,6)</f>
        <v>927.34397822037681</v>
      </c>
      <c r="U44" s="15">
        <f>INDEX(M2_Table_MN_j_m,6,7)</f>
        <v>388.21337636526954</v>
      </c>
      <c r="V44" s="16"/>
    </row>
    <row r="45" spans="1:22" ht="20.100000000000001" customHeight="1" x14ac:dyDescent="0.25">
      <c r="A45" s="5" t="str">
        <f>HYPERLINK("#'6.2.1.1-2 Pasture residue N2O'!A1", "6.2.1.1-2 Pasture residue N2O")</f>
        <v>6.2.1.1-2 Pasture residue N2O</v>
      </c>
      <c r="D45" s="15" t="str">
        <f>INDEX(X_Table_Dairy_ProductionSystems_Method1,4,1)</f>
        <v>Feed pad</v>
      </c>
      <c r="E45" s="15" t="str">
        <f>INDEX(X_Table_Dairy_Stage1MMS_2_SumpAndDispersal,2,1)</f>
        <v>Sump and dispersal system</v>
      </c>
      <c r="F45" s="15">
        <f>INDEX(M1_Table_MN_j_m,7,3)</f>
        <v>1292.1054203427104</v>
      </c>
      <c r="G45" s="15">
        <f>INDEX(M1_Table_MN_j_m,7,4)</f>
        <v>590.17648503003818</v>
      </c>
      <c r="H45" s="15">
        <f>INDEX(M1_Table_MN_j_m,7,5)</f>
        <v>235.06105261898415</v>
      </c>
      <c r="I45" s="15">
        <f>INDEX(M1_Table_MN_j_m,7,6)</f>
        <v>741.87518257630143</v>
      </c>
      <c r="J45" s="15">
        <f>INDEX(M1_Table_MN_j_m,7,7)</f>
        <v>310.57070109221564</v>
      </c>
      <c r="K45" s="16"/>
      <c r="M45"/>
      <c r="O45" s="15" t="str">
        <f>INDEX(X_Table_Dairy_ProductionSystems_Method1,4,1)</f>
        <v>Feed pad</v>
      </c>
      <c r="P45" s="15" t="str">
        <f>INDEX(X_Table_Dairy_Stage1MMS_2_SumpAndDispersal,2,1)</f>
        <v>Sump and dispersal system</v>
      </c>
      <c r="Q45" s="15">
        <f>INDEX(M2_Table_MN_j_m,7,3)</f>
        <v>1292.1054203427104</v>
      </c>
      <c r="R45" s="15">
        <f>INDEX(M2_Table_MN_j_m,7,4)</f>
        <v>590.17648503003818</v>
      </c>
      <c r="S45" s="15">
        <f>INDEX(M2_Table_MN_j_m,7,5)</f>
        <v>235.06105261898415</v>
      </c>
      <c r="T45" s="15">
        <f>INDEX(M2_Table_MN_j_m,7,6)</f>
        <v>741.87518257630143</v>
      </c>
      <c r="U45" s="15">
        <f>INDEX(M2_Table_MN_j_m,7,7)</f>
        <v>310.57070109221564</v>
      </c>
      <c r="V45" s="16"/>
    </row>
    <row r="46" spans="1:22" ht="20.100000000000001" customHeight="1" x14ac:dyDescent="0.25">
      <c r="A46" s="5" t="str">
        <f>HYPERLINK("#'6.3.1.1-2 Leach runoff pasture'!A1", "6.3.1.1-2 Leach &amp; runoff (pasture)")</f>
        <v>6.3.1.1-2 Leach &amp; runoff (pasture)</v>
      </c>
      <c r="D46" s="15" t="str">
        <f>INDEX(X_Table_Dairy_ProductionSystems_Method1,4,1)</f>
        <v>Feed pad</v>
      </c>
      <c r="E46" s="15" t="str">
        <f>INDEX(X_Table_Dairy_Stage1MMS_2_DrainsToPaddock,2,1)</f>
        <v>Drains to paddock</v>
      </c>
      <c r="F46" s="15">
        <f>INDEX(M1_Table_MN_j_m,8,3)</f>
        <v>1292.1054203427104</v>
      </c>
      <c r="G46" s="15">
        <f>INDEX(M1_Table_MN_j_m,8,4)</f>
        <v>590.17648503003818</v>
      </c>
      <c r="H46" s="15">
        <f>INDEX(M1_Table_MN_j_m,8,5)</f>
        <v>235.06105261898415</v>
      </c>
      <c r="I46" s="15">
        <f>INDEX(M1_Table_MN_j_m,8,6)</f>
        <v>741.87518257630143</v>
      </c>
      <c r="J46" s="15">
        <f>INDEX(M1_Table_MN_j_m,8,7)</f>
        <v>310.57070109221564</v>
      </c>
      <c r="K46" s="16"/>
      <c r="M46"/>
      <c r="O46" s="15" t="str">
        <f>INDEX(X_Table_Dairy_ProductionSystems_Method1,4,1)</f>
        <v>Feed pad</v>
      </c>
      <c r="P46" s="15" t="str">
        <f>INDEX(X_Table_Dairy_Stage1MMS_2_DrainsToPaddock,2,1)</f>
        <v>Drains to paddock</v>
      </c>
      <c r="Q46" s="15">
        <f>INDEX(M2_Table_MN_j_m,8,3)</f>
        <v>1292.1054203427104</v>
      </c>
      <c r="R46" s="15">
        <f>INDEX(M2_Table_MN_j_m,8,4)</f>
        <v>590.17648503003818</v>
      </c>
      <c r="S46" s="15">
        <f>INDEX(M2_Table_MN_j_m,8,5)</f>
        <v>235.06105261898415</v>
      </c>
      <c r="T46" s="15">
        <f>INDEX(M2_Table_MN_j_m,8,6)</f>
        <v>741.87518257630143</v>
      </c>
      <c r="U46" s="15">
        <f>INDEX(M2_Table_MN_j_m,8,7)</f>
        <v>310.57070109221564</v>
      </c>
      <c r="V46" s="16"/>
    </row>
    <row r="47" spans="1:22" ht="20.100000000000001" customHeight="1" x14ac:dyDescent="0.25">
      <c r="A47" s="5" t="str">
        <f>HYPERLINK("#'8.1.1.1-2 Transport fuel'!A1", "8.1.1.1-2 Transport fuel")</f>
        <v>8.1.1.1-2 Transport fuel</v>
      </c>
      <c r="D47" s="15" t="str">
        <f>INDEX(X_Table_Dairy_ProductionSystems_Method1,4,1)</f>
        <v>Feed pad</v>
      </c>
      <c r="E47" s="15" t="s">
        <v>75</v>
      </c>
      <c r="F47" s="15">
        <f>INDEX(M1_Table_MN_j_m,9,3)</f>
        <v>2261.1844855997429</v>
      </c>
      <c r="G47" s="15">
        <f>INDEX(M1_Table_MN_j_m,9,4)</f>
        <v>1032.8088488025667</v>
      </c>
      <c r="H47" s="15">
        <f>INDEX(M1_Table_MN_j_m,9,5)</f>
        <v>411.35684208322226</v>
      </c>
      <c r="I47" s="15">
        <f>INDEX(M1_Table_MN_j_m,9,6)</f>
        <v>1298.2815695085274</v>
      </c>
      <c r="J47" s="15">
        <f>INDEX(M1_Table_MN_j_m,9,7)</f>
        <v>543.49872691137739</v>
      </c>
      <c r="K47" s="16"/>
      <c r="M47"/>
      <c r="O47" s="15" t="str">
        <f>INDEX(X_Table_Dairy_ProductionSystems_Method1,4,1)</f>
        <v>Feed pad</v>
      </c>
      <c r="P47" s="15" t="s">
        <v>75</v>
      </c>
      <c r="Q47" s="15">
        <f>INDEX(M2_Table_MN_j_m,9,3)</f>
        <v>2261.1844855997429</v>
      </c>
      <c r="R47" s="15">
        <f>INDEX(M2_Table_MN_j_m,9,4)</f>
        <v>1032.8088488025667</v>
      </c>
      <c r="S47" s="15">
        <f>INDEX(M2_Table_MN_j_m,9,5)</f>
        <v>411.35684208322226</v>
      </c>
      <c r="T47" s="15">
        <f>INDEX(M2_Table_MN_j_m,9,6)</f>
        <v>1298.2815695085274</v>
      </c>
      <c r="U47" s="15">
        <f>INDEX(M2_Table_MN_j_m,9,7)</f>
        <v>543.49872691137739</v>
      </c>
      <c r="V47" s="16"/>
    </row>
    <row r="48" spans="1:22" ht="20.100000000000001" customHeight="1" x14ac:dyDescent="0.25">
      <c r="A48" s="5" t="str">
        <f>HYPERLINK("#'8.2.1.1-2 Stationary fuel'!A1", "8.2.1.1-2 Stationary fuel")</f>
        <v>8.2.1.1-2 Stationary fuel</v>
      </c>
    </row>
    <row r="49" spans="1:22" ht="20.100000000000001" customHeight="1" x14ac:dyDescent="0.25">
      <c r="A49" s="5" t="str">
        <f>HYPERLINK("#'10.1.1-2 Solid waste treatment'!A1", "10.1.1.1-2 Solid waste")</f>
        <v>10.1.1.1-2 Solid waste</v>
      </c>
      <c r="D49" s="121" t="s">
        <v>519</v>
      </c>
      <c r="O49" s="121" t="s">
        <v>520</v>
      </c>
    </row>
    <row r="50" spans="1:22" ht="20.100000000000001" customHeight="1" x14ac:dyDescent="0.25">
      <c r="A50" s="5" t="str">
        <f>HYPERLINK("#'14.1.1-2 Purchased electricity'!A1", "14.1.1-2 Purchased electricity")</f>
        <v>14.1.1-2 Purchased electricity</v>
      </c>
      <c r="D50" s="122" t="s">
        <v>521</v>
      </c>
      <c r="O50" s="122" t="s">
        <v>522</v>
      </c>
    </row>
    <row r="51" spans="1:22" ht="20.100000000000001" customHeight="1" x14ac:dyDescent="0.25">
      <c r="A51" s="5" t="str">
        <f>HYPERLINK("#'15 Scope 3'!A1", "15 Scope 3")</f>
        <v>15 Scope 3</v>
      </c>
      <c r="D51" s="123" t="s">
        <v>161</v>
      </c>
      <c r="E51" s="123" t="s">
        <v>388</v>
      </c>
      <c r="F51" s="123" t="s">
        <v>295</v>
      </c>
      <c r="G51" s="123" t="s">
        <v>296</v>
      </c>
      <c r="H51" s="123" t="s">
        <v>297</v>
      </c>
      <c r="I51" s="123" t="s">
        <v>298</v>
      </c>
      <c r="J51" s="123" t="s">
        <v>299</v>
      </c>
      <c r="O51" s="123" t="s">
        <v>161</v>
      </c>
      <c r="P51" s="123" t="s">
        <v>388</v>
      </c>
      <c r="Q51" s="123" t="s">
        <v>295</v>
      </c>
      <c r="R51" s="123" t="s">
        <v>296</v>
      </c>
      <c r="S51" s="123" t="s">
        <v>297</v>
      </c>
      <c r="T51" s="123" t="s">
        <v>298</v>
      </c>
      <c r="U51" s="123" t="s">
        <v>299</v>
      </c>
    </row>
    <row r="52" spans="1:22" ht="20.100000000000001" customHeight="1" x14ac:dyDescent="0.25">
      <c r="A52" s="5" t="str">
        <f>HYPERLINK("#'Calcs - Manure sent off-site'!A1", "Calcs - Manure sent off-site")</f>
        <v>Calcs - Manure sent off-site</v>
      </c>
      <c r="D52" s="15" t="str">
        <f>INDEX(X_Table_Dairy_ProductionSystems_Method1,3,1)</f>
        <v>Milking shed</v>
      </c>
      <c r="E52" s="15" t="str">
        <f>INDEX(X_Table_Dairy_Stage1MMS_1_AnaerobicLagoon,2,1)</f>
        <v>Anaerobic lagoon</v>
      </c>
      <c r="F52" s="15">
        <v>0</v>
      </c>
      <c r="G52" s="15">
        <v>0</v>
      </c>
      <c r="H52" s="15">
        <v>0</v>
      </c>
      <c r="I52" s="15">
        <v>0</v>
      </c>
      <c r="J52" s="15">
        <v>0</v>
      </c>
      <c r="K52" s="16" t="str">
        <f>$G$16</f>
        <v>kg N</v>
      </c>
      <c r="O52" s="15" t="str">
        <f>INDEX(X_Table_Dairy_ProductionSystems_Method1,3,1)</f>
        <v>Milking shed</v>
      </c>
      <c r="P52" s="15" t="str">
        <f>INDEX(X_Table_Dairy_Stage1MMS_1_AnaerobicLagoon,2,1)</f>
        <v>Anaerobic lagoon</v>
      </c>
      <c r="Q52" s="15">
        <v>0</v>
      </c>
      <c r="R52" s="15">
        <v>0</v>
      </c>
      <c r="S52" s="15">
        <v>0</v>
      </c>
      <c r="T52" s="15">
        <v>0</v>
      </c>
      <c r="U52" s="15">
        <v>0</v>
      </c>
      <c r="V52" s="16" t="str">
        <f>$G$16</f>
        <v>kg N</v>
      </c>
    </row>
    <row r="53" spans="1:22" ht="20.100000000000001" customHeight="1" x14ac:dyDescent="0.25">
      <c r="D53" s="15" t="str">
        <f>INDEX(X_Table_Dairy_ProductionSystems_Method1,3,1)</f>
        <v>Milking shed</v>
      </c>
      <c r="E53" s="15" t="str">
        <f>INDEX(X_Table_Dairy_Stage1MMS_1_SumpAndDispersal,2,1)</f>
        <v>Sump and dispersal system</v>
      </c>
      <c r="F53" s="15">
        <v>0</v>
      </c>
      <c r="G53" s="15">
        <v>0</v>
      </c>
      <c r="H53" s="15">
        <v>0</v>
      </c>
      <c r="I53" s="15">
        <v>0</v>
      </c>
      <c r="J53" s="15">
        <v>0</v>
      </c>
      <c r="K53" s="16"/>
      <c r="O53" s="15" t="str">
        <f>INDEX(X_Table_Dairy_ProductionSystems_Method1,3,1)</f>
        <v>Milking shed</v>
      </c>
      <c r="P53" s="15" t="str">
        <f>INDEX(X_Table_Dairy_Stage1MMS_1_SumpAndDispersal,2,1)</f>
        <v>Sump and dispersal system</v>
      </c>
      <c r="Q53" s="15">
        <v>0</v>
      </c>
      <c r="R53" s="15">
        <v>0</v>
      </c>
      <c r="S53" s="15">
        <v>0</v>
      </c>
      <c r="T53" s="15">
        <v>0</v>
      </c>
      <c r="U53" s="15">
        <v>0</v>
      </c>
      <c r="V53" s="16"/>
    </row>
    <row r="54" spans="1:22" ht="20.100000000000001" customHeight="1" x14ac:dyDescent="0.25">
      <c r="D54" s="15" t="str">
        <f>INDEX(X_Table_Dairy_ProductionSystems_Method1,3,1)</f>
        <v>Milking shed</v>
      </c>
      <c r="E54" s="15" t="str">
        <f>INDEX(X_Table_Dairy_Stage1MMS_1_DrainsToPaddock,2,1)</f>
        <v>Drains to paddock</v>
      </c>
      <c r="F54" s="15">
        <v>0</v>
      </c>
      <c r="G54" s="15">
        <v>0</v>
      </c>
      <c r="H54" s="15">
        <v>0</v>
      </c>
      <c r="I54" s="15">
        <v>0</v>
      </c>
      <c r="J54" s="15">
        <v>0</v>
      </c>
      <c r="K54" s="16"/>
      <c r="O54" s="15" t="str">
        <f>INDEX(X_Table_Dairy_ProductionSystems_Method1,3,1)</f>
        <v>Milking shed</v>
      </c>
      <c r="P54" s="15" t="str">
        <f>INDEX(X_Table_Dairy_Stage1MMS_1_DrainsToPaddock,2,1)</f>
        <v>Drains to paddock</v>
      </c>
      <c r="Q54" s="15">
        <v>0</v>
      </c>
      <c r="R54" s="15">
        <v>0</v>
      </c>
      <c r="S54" s="15">
        <v>0</v>
      </c>
      <c r="T54" s="15">
        <v>0</v>
      </c>
      <c r="U54" s="15">
        <v>0</v>
      </c>
      <c r="V54" s="16"/>
    </row>
    <row r="55" spans="1:22" ht="20.100000000000001" customHeight="1" x14ac:dyDescent="0.25">
      <c r="A55" s="83" t="s">
        <v>1</v>
      </c>
      <c r="D55" s="15" t="str">
        <f>INDEX(X_Table_Dairy_ProductionSystems_Method1,3,1)</f>
        <v>Milking shed</v>
      </c>
      <c r="E55" s="15" t="s">
        <v>75</v>
      </c>
      <c r="F55" s="15">
        <f>INDEX(M1_Table_MN_leach_j_m4,2,3)</f>
        <v>15.969842273898667</v>
      </c>
      <c r="G55" s="15">
        <f>INDEX(M1_Table_MN_leach_j_m4,2,4)</f>
        <v>7.2943161071128308</v>
      </c>
      <c r="H55" s="15">
        <f>INDEX(M1_Table_MN_leach_j_m4,2,5)</f>
        <v>2.9052489649537363</v>
      </c>
      <c r="I55" s="15">
        <f>INDEX(M1_Table_MN_leach_j_m4,2,6)</f>
        <v>9.1692438295947358</v>
      </c>
      <c r="J55" s="15">
        <f>INDEX(M1_Table_MN_leach_j_m4,2,7)</f>
        <v>3.8385142831622159</v>
      </c>
      <c r="K55" s="16"/>
      <c r="O55" s="15" t="str">
        <f>INDEX(X_Table_Dairy_ProductionSystems_Method1,3,1)</f>
        <v>Milking shed</v>
      </c>
      <c r="P55" s="15" t="s">
        <v>75</v>
      </c>
      <c r="Q55" s="15">
        <f>INDEX(M2_Table_MN_leach_j_m4,2,3)</f>
        <v>15.969842273898667</v>
      </c>
      <c r="R55" s="15">
        <f>INDEX(M2_Table_MN_leach_j_m4,2,4)</f>
        <v>7.2943161071128308</v>
      </c>
      <c r="S55" s="15">
        <f>INDEX(M2_Table_MN_leach_j_m4,2,5)</f>
        <v>2.9052489649537363</v>
      </c>
      <c r="T55" s="15">
        <f>INDEX(M2_Table_MN_leach_j_m4,2,6)</f>
        <v>9.1692438295947358</v>
      </c>
      <c r="U55" s="15">
        <f>INDEX(M2_Table_MN_leach_j_m4,2,7)</f>
        <v>3.8385142831622159</v>
      </c>
      <c r="V55" s="16"/>
    </row>
    <row r="56" spans="1:22" ht="20.100000000000001" customHeight="1" x14ac:dyDescent="0.25">
      <c r="A56" s="5" t="str">
        <f>HYPERLINK("#'Constants - Dairy'!A1", "Constants - Dairy")</f>
        <v>Constants - Dairy</v>
      </c>
      <c r="D56" s="15" t="str">
        <f>INDEX(X_Table_Dairy_ProductionSystems_Method1,4,1)</f>
        <v>Feed pad</v>
      </c>
      <c r="E56" s="15" t="str">
        <f>INDEX(X_Table_Dairy_Stage1MMS_2_AnaerobicLagoon,2,1)</f>
        <v>Anaerobic lagoon</v>
      </c>
      <c r="F56" s="15">
        <v>0</v>
      </c>
      <c r="G56" s="15">
        <v>0</v>
      </c>
      <c r="H56" s="15">
        <v>0</v>
      </c>
      <c r="I56" s="15">
        <v>0</v>
      </c>
      <c r="J56" s="15">
        <v>0</v>
      </c>
      <c r="K56" s="16"/>
      <c r="O56" s="15" t="str">
        <f>INDEX(X_Table_Dairy_ProductionSystems_Method1,4,1)</f>
        <v>Feed pad</v>
      </c>
      <c r="P56" s="15" t="str">
        <f>INDEX(X_Table_Dairy_Stage1MMS_2_AnaerobicLagoon,2,1)</f>
        <v>Anaerobic lagoon</v>
      </c>
      <c r="Q56" s="15">
        <v>0</v>
      </c>
      <c r="R56" s="15">
        <v>0</v>
      </c>
      <c r="S56" s="15">
        <v>0</v>
      </c>
      <c r="T56" s="15">
        <v>0</v>
      </c>
      <c r="U56" s="15">
        <v>0</v>
      </c>
      <c r="V56" s="16"/>
    </row>
    <row r="57" spans="1:22" ht="20.100000000000001" customHeight="1" x14ac:dyDescent="0.25">
      <c r="A57" s="5" t="str">
        <f>HYPERLINK("#'Constants - Ag Residue'!A1", "Constants - Ag residue")</f>
        <v>Constants - Ag residue</v>
      </c>
      <c r="D57" s="15" t="str">
        <f>INDEX(X_Table_Dairy_ProductionSystems_Method1,4,1)</f>
        <v>Feed pad</v>
      </c>
      <c r="E57" s="15" t="str">
        <f>INDEX(X_Table_Dairy_Stage1MMS_2_SumpAndDispersal,2,1)</f>
        <v>Sump and dispersal system</v>
      </c>
      <c r="F57" s="15">
        <v>0</v>
      </c>
      <c r="G57" s="15">
        <v>0</v>
      </c>
      <c r="H57" s="15">
        <v>0</v>
      </c>
      <c r="I57" s="15">
        <v>0</v>
      </c>
      <c r="J57" s="15">
        <v>0</v>
      </c>
      <c r="K57" s="16"/>
      <c r="O57" s="15" t="str">
        <f>INDEX(X_Table_Dairy_ProductionSystems_Method1,4,1)</f>
        <v>Feed pad</v>
      </c>
      <c r="P57" s="15" t="str">
        <f>INDEX(X_Table_Dairy_Stage1MMS_2_SumpAndDispersal,2,1)</f>
        <v>Sump and dispersal system</v>
      </c>
      <c r="Q57" s="15">
        <v>0</v>
      </c>
      <c r="R57" s="15">
        <v>0</v>
      </c>
      <c r="S57" s="15">
        <v>0</v>
      </c>
      <c r="T57" s="15">
        <v>0</v>
      </c>
      <c r="U57" s="15">
        <v>0</v>
      </c>
      <c r="V57" s="16"/>
    </row>
    <row r="58" spans="1:22" ht="20.100000000000001" customHeight="1" x14ac:dyDescent="0.25">
      <c r="A58" s="5" t="str">
        <f>HYPERLINK("#'Constants - Common Livestock'!A1", "Constants - Common Livestock")</f>
        <v>Constants - Common Livestock</v>
      </c>
      <c r="D58" s="15" t="str">
        <f>INDEX(X_Table_Dairy_ProductionSystems_Method1,4,1)</f>
        <v>Feed pad</v>
      </c>
      <c r="E58" s="15" t="str">
        <f>INDEX(X_Table_Dairy_Stage1MMS_2_DrainsToPaddock,2,1)</f>
        <v>Drains to paddock</v>
      </c>
      <c r="F58" s="15">
        <v>0</v>
      </c>
      <c r="G58" s="15">
        <v>0</v>
      </c>
      <c r="H58" s="15">
        <v>0</v>
      </c>
      <c r="I58" s="15">
        <v>0</v>
      </c>
      <c r="J58" s="15">
        <v>0</v>
      </c>
      <c r="K58" s="16"/>
      <c r="O58" s="15" t="str">
        <f>INDEX(X_Table_Dairy_ProductionSystems_Method1,4,1)</f>
        <v>Feed pad</v>
      </c>
      <c r="P58" s="15" t="str">
        <f>INDEX(X_Table_Dairy_Stage1MMS_2_DrainsToPaddock,2,1)</f>
        <v>Drains to paddock</v>
      </c>
      <c r="Q58" s="15">
        <v>0</v>
      </c>
      <c r="R58" s="15">
        <v>0</v>
      </c>
      <c r="S58" s="15">
        <v>0</v>
      </c>
      <c r="T58" s="15">
        <v>0</v>
      </c>
      <c r="U58" s="15">
        <v>0</v>
      </c>
      <c r="V58" s="16"/>
    </row>
    <row r="59" spans="1:22" ht="20.100000000000001" customHeight="1" x14ac:dyDescent="0.25">
      <c r="A59" s="5" t="str">
        <f>HYPERLINK("#'Constants - Electricity'!A1", "Constants - Electricity")</f>
        <v>Constants - Electricity</v>
      </c>
      <c r="D59" s="15" t="str">
        <f>INDEX(X_Table_Dairy_ProductionSystems_Method1,4,1)</f>
        <v>Feed pad</v>
      </c>
      <c r="E59" s="15" t="s">
        <v>75</v>
      </c>
      <c r="F59" s="15">
        <f>INDEX(M1_Table_MN_leach_j_m4,3,3)</f>
        <v>45.223689711994858</v>
      </c>
      <c r="G59" s="15">
        <f>INDEX(M1_Table_MN_leach_j_m4,3,4)</f>
        <v>20.656176976051334</v>
      </c>
      <c r="H59" s="15">
        <f>INDEX(M1_Table_MN_leach_j_m4,3,5)</f>
        <v>8.2271368416644446</v>
      </c>
      <c r="I59" s="15">
        <f>INDEX(M1_Table_MN_leach_j_m4,3,6)</f>
        <v>25.965631390170547</v>
      </c>
      <c r="J59" s="15">
        <f>INDEX(M1_Table_MN_leach_j_m4,3,7)</f>
        <v>10.869974538227549</v>
      </c>
      <c r="K59" s="16"/>
      <c r="O59" s="15" t="str">
        <f>INDEX(X_Table_Dairy_ProductionSystems_Method1,4,1)</f>
        <v>Feed pad</v>
      </c>
      <c r="P59" s="15" t="s">
        <v>75</v>
      </c>
      <c r="Q59" s="15">
        <f>INDEX(M2_Table_MN_leach_j_m4,3,3)</f>
        <v>45.223689711994858</v>
      </c>
      <c r="R59" s="15">
        <f>INDEX(M2_Table_MN_leach_j_m4,3,4)</f>
        <v>20.656176976051334</v>
      </c>
      <c r="S59" s="15">
        <f>INDEX(M2_Table_MN_leach_j_m4,3,5)</f>
        <v>8.2271368416644446</v>
      </c>
      <c r="T59" s="15">
        <f>INDEX(M2_Table_MN_leach_j_m4,3,6)</f>
        <v>25.965631390170547</v>
      </c>
      <c r="U59" s="15">
        <f>INDEX(M2_Table_MN_leach_j_m4,3,7)</f>
        <v>10.869974538227549</v>
      </c>
      <c r="V59" s="16"/>
    </row>
    <row r="60" spans="1:22" ht="20.100000000000001" customHeight="1" x14ac:dyDescent="0.25">
      <c r="A60" s="5" t="str">
        <f>HYPERLINK("#'Constants - Fertiliser'!A1", "Constants - Fertiliser")</f>
        <v>Constants - Fertiliser</v>
      </c>
    </row>
    <row r="61" spans="1:22" ht="20.100000000000001" customHeight="1" x14ac:dyDescent="0.25">
      <c r="A61" s="5" t="str">
        <f>HYPERLINK("#'Constants - Fuel'!A1", "Constants - Fuel")</f>
        <v>Constants - Fuel</v>
      </c>
      <c r="D61" s="121" t="s">
        <v>523</v>
      </c>
    </row>
    <row r="62" spans="1:22" ht="20.100000000000001" customHeight="1" x14ac:dyDescent="0.25">
      <c r="A62" s="5" t="str">
        <f>HYPERLINK("#'Constants - Scope 3'!A1", "Constants - Scope 3")</f>
        <v>Constants - Scope 3</v>
      </c>
      <c r="D62" s="122" t="s">
        <v>524</v>
      </c>
    </row>
    <row r="63" spans="1:22" ht="20.100000000000001" customHeight="1" x14ac:dyDescent="0.25">
      <c r="A63" s="5" t="str">
        <f>HYPERLINK("#'Constants - Common'!A1", "Constants - Common")</f>
        <v>Constants - Common</v>
      </c>
      <c r="D63" s="81" t="s">
        <v>161</v>
      </c>
      <c r="E63" s="81" t="s">
        <v>388</v>
      </c>
      <c r="F63" s="81" t="s">
        <v>525</v>
      </c>
    </row>
    <row r="64" spans="1:22" ht="20.100000000000001" customHeight="1" x14ac:dyDescent="0.25">
      <c r="A64" s="5" t="str">
        <f>HYPERLINK("#'Constants - Solid Waste'!A1", "Constants - Solid Waste")</f>
        <v>Constants - Solid Waste</v>
      </c>
      <c r="D64" s="15" t="str">
        <f>INDEX(X_Table_Dairy_ProductionSystems_Method1,3,1)</f>
        <v>Milking shed</v>
      </c>
      <c r="E64" s="15" t="str">
        <f>INDEX(X_Table_Dairy_Stage1MMS_1_AnaerobicLagoon,2,1)</f>
        <v>Anaerobic lagoon</v>
      </c>
      <c r="F64" s="15">
        <f ca="1">SUM(OFFSET(X_Table_Dairy_Stage1MMS_1_AnaerobicLagoon_Destinations,1,2,1,2))</f>
        <v>0.75</v>
      </c>
      <c r="G64" s="16" t="str">
        <f>$G$17</f>
        <v>fraction</v>
      </c>
    </row>
    <row r="65" spans="1:22" ht="20.100000000000001" customHeight="1" x14ac:dyDescent="0.25">
      <c r="A65" s="5" t="str">
        <f>HYPERLINK("#'Acknowledgements'!A1", "Acknowledgements")</f>
        <v>Acknowledgements</v>
      </c>
      <c r="D65" s="15" t="str">
        <f>INDEX(X_Table_Dairy_ProductionSystems_Method1,3,1)</f>
        <v>Milking shed</v>
      </c>
      <c r="E65" s="15" t="str">
        <f>INDEX(X_Table_Dairy_Stage1MMS_1_SumpAndDispersal,2,1)</f>
        <v>Sump and dispersal system</v>
      </c>
      <c r="F65" s="15">
        <f ca="1">SUM(OFFSET(X_Table_Dairy_Stage1MMS_1_SumpAndDispersal_Destinations,1,2,1,2))</f>
        <v>0.75</v>
      </c>
      <c r="G65" s="16"/>
    </row>
    <row r="66" spans="1:22" ht="20.100000000000001" customHeight="1" x14ac:dyDescent="0.25">
      <c r="D66" s="15" t="str">
        <f>INDEX(X_Table_Dairy_ProductionSystems_Method1,3,1)</f>
        <v>Milking shed</v>
      </c>
      <c r="E66" s="15" t="str">
        <f>INDEX(X_Table_Dairy_Stage1MMS_1_DrainsToPaddock,2,1)</f>
        <v>Drains to paddock</v>
      </c>
      <c r="F66" s="15">
        <f ca="1">SUM(OFFSET(X_Table_Dairy_Stage1MMS_1_DrainsToPaddock_Destinations,1,2,1,2))</f>
        <v>0.75</v>
      </c>
      <c r="G66" s="16"/>
    </row>
    <row r="67" spans="1:22" ht="20.100000000000001" customHeight="1" x14ac:dyDescent="0.25">
      <c r="D67" s="15" t="str">
        <f>INDEX(X_Table_Dairy_ProductionSystems_Method1,3,1)</f>
        <v>Milking shed</v>
      </c>
      <c r="E67" s="15" t="str">
        <f>INDEX(X_Table_Dairy_Stage1MMS_1_SolidStorage,2,1)</f>
        <v>Solid storage (before solid separation)</v>
      </c>
      <c r="F67" s="15">
        <f ca="1">SUM(OFFSET(X_Table_Dairy_Stage1MMS_1_SolidStorage_Destinations,1,2,1,2))</f>
        <v>0.75</v>
      </c>
      <c r="G67" s="16"/>
    </row>
    <row r="68" spans="1:22" ht="20.100000000000001" customHeight="1" x14ac:dyDescent="0.25">
      <c r="D68" s="15" t="str">
        <f>INDEX(X_Table_Dairy_ProductionSystems_Method1,4,1)</f>
        <v>Feed pad</v>
      </c>
      <c r="E68" s="15" t="str">
        <f>INDEX(X_Table_Dairy_Stage1MMS_2_AnaerobicLagoon,2,1)</f>
        <v>Anaerobic lagoon</v>
      </c>
      <c r="F68" s="15">
        <f ca="1">SUM(OFFSET(X_Table_Dairy_Stage1MMS_2_AnaerobicLagoon_Destinations,1,2,1,2))</f>
        <v>0.75</v>
      </c>
      <c r="G68" s="16"/>
    </row>
    <row r="69" spans="1:22" ht="20.100000000000001" customHeight="1" x14ac:dyDescent="0.25">
      <c r="D69" s="15" t="str">
        <f>INDEX(X_Table_Dairy_ProductionSystems_Method1,4,1)</f>
        <v>Feed pad</v>
      </c>
      <c r="E69" s="15" t="str">
        <f>INDEX(X_Table_Dairy_Stage1MMS_2_SumpAndDispersal,2,1)</f>
        <v>Sump and dispersal system</v>
      </c>
      <c r="F69" s="15">
        <f ca="1">SUM(OFFSET(X_Table_Dairy_Stage1MMS_2_SumpAndDispersal_Destinations,1,2,1,2))</f>
        <v>0.75</v>
      </c>
      <c r="G69" s="16"/>
    </row>
    <row r="70" spans="1:22" ht="20.100000000000001" customHeight="1" x14ac:dyDescent="0.25">
      <c r="D70" s="15" t="str">
        <f>INDEX(X_Table_Dairy_ProductionSystems_Method1,4,1)</f>
        <v>Feed pad</v>
      </c>
      <c r="E70" s="15" t="str">
        <f>INDEX(X_Table_Dairy_Stage1MMS_2_DrainsToPaddock,2,1)</f>
        <v>Drains to paddock</v>
      </c>
      <c r="F70" s="15">
        <f ca="1">SUM(OFFSET(X_Table_Dairy_Stage1MMS_2_DrainsToPaddock_Destinations,1,2,1,2))</f>
        <v>0.75</v>
      </c>
      <c r="G70" s="16"/>
    </row>
    <row r="71" spans="1:22" ht="20.100000000000001" customHeight="1" x14ac:dyDescent="0.25">
      <c r="D71" s="15" t="str">
        <f>INDEX(X_Table_Dairy_ProductionSystems_Method1,4,1)</f>
        <v>Feed pad</v>
      </c>
      <c r="E71" s="15" t="str">
        <f>INDEX(X_Table_Dairy_Stage1MMS_2_SolidStorage,2,1)</f>
        <v>Solid storage (before solid separation)</v>
      </c>
      <c r="F71" s="15">
        <f ca="1">SUM(OFFSET(X_Table_Dairy_Stage1MMS_2_SolidStorage_Destinations,1,2,1,2))</f>
        <v>0.75</v>
      </c>
      <c r="G71" s="16"/>
    </row>
    <row r="72" spans="1:22" ht="20.100000000000001" customHeight="1" x14ac:dyDescent="0.25"/>
    <row r="73" spans="1:22" ht="20.100000000000001" customHeight="1" x14ac:dyDescent="0.25">
      <c r="D73" s="121" t="s">
        <v>526</v>
      </c>
      <c r="O73" s="121" t="s">
        <v>527</v>
      </c>
    </row>
    <row r="74" spans="1:22" ht="20.100000000000001" customHeight="1" x14ac:dyDescent="0.25">
      <c r="D74" s="122" t="s">
        <v>528</v>
      </c>
      <c r="O74" s="122" t="s">
        <v>529</v>
      </c>
    </row>
    <row r="75" spans="1:22" ht="20.100000000000001" customHeight="1" x14ac:dyDescent="0.25">
      <c r="D75" s="123" t="s">
        <v>161</v>
      </c>
      <c r="E75" s="123" t="s">
        <v>388</v>
      </c>
      <c r="F75" s="123" t="s">
        <v>295</v>
      </c>
      <c r="G75" s="123" t="s">
        <v>296</v>
      </c>
      <c r="H75" s="123" t="s">
        <v>297</v>
      </c>
      <c r="I75" s="123" t="s">
        <v>298</v>
      </c>
      <c r="J75" s="123" t="s">
        <v>299</v>
      </c>
      <c r="O75" s="123" t="s">
        <v>161</v>
      </c>
      <c r="P75" s="123" t="s">
        <v>388</v>
      </c>
      <c r="Q75" s="123" t="s">
        <v>295</v>
      </c>
      <c r="R75" s="123" t="s">
        <v>296</v>
      </c>
      <c r="S75" s="123" t="s">
        <v>297</v>
      </c>
      <c r="T75" s="123" t="s">
        <v>298</v>
      </c>
      <c r="U75" s="123" t="s">
        <v>299</v>
      </c>
    </row>
    <row r="76" spans="1:22" ht="20.100000000000001" customHeight="1" x14ac:dyDescent="0.25">
      <c r="D76" s="15" t="str">
        <f>INDEX(X_Table_Dairy_ProductionSystems_Method1,3,1)</f>
        <v>Milking shed</v>
      </c>
      <c r="E76" s="15" t="str">
        <f>INDEX(X_Table_Dairy_Stage1MMS_1_AnaerobicLagoon,2,1)</f>
        <v>Anaerobic lagoon</v>
      </c>
      <c r="F76" s="15" cm="1">
        <f t="array" aca="1" ref="F76" ca="1">MMS_Dairy_ManureAppliedToSoils_Equations.VEERG_4_3_1_8__1_MassOfNitrogenAppliedToSoilsScope1(F40,_xlfn.XLOOKUP($E76,$D$22:$D$26,$E$22:$E$26),_xlfn.XLOOKUP($E76, $D$31:$D$35,$E$31:$E$35),F52,$F64)</f>
        <v>194.63245271314003</v>
      </c>
      <c r="G76" s="15" cm="1">
        <f t="array" aca="1" ref="G76" ca="1">MMS_Dairy_ManureAppliedToSoils_Equations.VEERG_4_3_1_8__1_MassOfNitrogenAppliedToSoilsScope1(G40,_xlfn.XLOOKUP($E76,$D$22:$D$26,$E$22:$E$26),_xlfn.XLOOKUP($E76, $D$31:$D$35,$E$31:$E$35),G52,$F64)</f>
        <v>88.899477555437642</v>
      </c>
      <c r="H76" s="15" cm="1">
        <f t="array" aca="1" ref="H76" ca="1">MMS_Dairy_ManureAppliedToSoils_Equations.VEERG_4_3_1_8__1_MassOfNitrogenAppliedToSoilsScope1(H40,_xlfn.XLOOKUP($E76,$D$22:$D$26,$E$22:$E$26),_xlfn.XLOOKUP($E76, $D$31:$D$35,$E$31:$E$35),H52,$F64)</f>
        <v>35.407721760373668</v>
      </c>
      <c r="I76" s="15" cm="1">
        <f t="array" aca="1" ref="I76" ca="1">MMS_Dairy_ManureAppliedToSoils_Equations.VEERG_4_3_1_8__1_MassOfNitrogenAppliedToSoilsScope1(I40,_xlfn.XLOOKUP($E76,$D$22:$D$26,$E$22:$E$26),_xlfn.XLOOKUP($E76, $D$31:$D$35,$E$31:$E$35),I52,$F64)</f>
        <v>111.75015917318586</v>
      </c>
      <c r="J76" s="15" cm="1">
        <f t="array" aca="1" ref="J76" ca="1">MMS_Dairy_ManureAppliedToSoils_Equations.VEERG_4_3_1_8__1_MassOfNitrogenAppliedToSoilsScope1(J40,_xlfn.XLOOKUP($E76,$D$22:$D$26,$E$22:$E$26),_xlfn.XLOOKUP($E76, $D$31:$D$35,$E$31:$E$35),J52,$F64)</f>
        <v>46.78189282603951</v>
      </c>
      <c r="K76" s="16" t="str">
        <f t="shared" ref="K76" si="0">$E$11</f>
        <v>kg N</v>
      </c>
      <c r="O76" s="15" t="str">
        <f>INDEX(X_Table_Dairy_ProductionSystems_Method1,3,1)</f>
        <v>Milking shed</v>
      </c>
      <c r="P76" s="15" t="str">
        <f>INDEX(X_Table_Dairy_Stage1MMS_1_AnaerobicLagoon,2,1)</f>
        <v>Anaerobic lagoon</v>
      </c>
      <c r="Q76" s="15" cm="1">
        <f t="array" aca="1" ref="Q76" ca="1">MMS_Dairy_ManureAppliedToSoils_Equations.VEERG_4_3_1_8__1_MassOfNitrogenAppliedToSoilsScope1(Q40,_xlfn.XLOOKUP($P76,$D$22:$D$26,$E$22:$E$26),_xlfn.XLOOKUP($P76, $D$31:$D$35,$E$31:$E$35),Q52,$F64)</f>
        <v>194.63245271314003</v>
      </c>
      <c r="R76" s="15" cm="1">
        <f t="array" aca="1" ref="R76" ca="1">MMS_Dairy_ManureAppliedToSoils_Equations.VEERG_4_3_1_8__1_MassOfNitrogenAppliedToSoilsScope1(R40,_xlfn.XLOOKUP($P76,$D$22:$D$26,$E$22:$E$26),_xlfn.XLOOKUP($P76, $D$31:$D$35,$E$31:$E$35),R52,$F64)</f>
        <v>88.899477555437642</v>
      </c>
      <c r="S76" s="15" cm="1">
        <f t="array" aca="1" ref="S76" ca="1">MMS_Dairy_ManureAppliedToSoils_Equations.VEERG_4_3_1_8__1_MassOfNitrogenAppliedToSoilsScope1(S40,_xlfn.XLOOKUP($P76,$D$22:$D$26,$E$22:$E$26),_xlfn.XLOOKUP($P76, $D$31:$D$35,$E$31:$E$35),S52,$F64)</f>
        <v>35.407721760373668</v>
      </c>
      <c r="T76" s="15" cm="1">
        <f t="array" aca="1" ref="T76" ca="1">MMS_Dairy_ManureAppliedToSoils_Equations.VEERG_4_3_1_8__1_MassOfNitrogenAppliedToSoilsScope1(T40,_xlfn.XLOOKUP($P76,$D$22:$D$26,$E$22:$E$26),_xlfn.XLOOKUP($P76, $D$31:$D$35,$E$31:$E$35),T52,$F64)</f>
        <v>111.75015917318586</v>
      </c>
      <c r="U76" s="15" cm="1">
        <f t="array" aca="1" ref="U76" ca="1">MMS_Dairy_ManureAppliedToSoils_Equations.VEERG_4_3_1_8__1_MassOfNitrogenAppliedToSoilsScope1(U40,_xlfn.XLOOKUP($P76,$D$22:$D$26,$E$22:$E$26),_xlfn.XLOOKUP($P76, $D$31:$D$35,$E$31:$E$35),U52,$F64)</f>
        <v>46.78189282603951</v>
      </c>
      <c r="V76" s="16" t="str">
        <f t="shared" ref="V76" si="1">$E$11</f>
        <v>kg N</v>
      </c>
    </row>
    <row r="77" spans="1:22" ht="20.100000000000001" customHeight="1" x14ac:dyDescent="0.25">
      <c r="D77" s="15" t="str">
        <f>INDEX(X_Table_Dairy_ProductionSystems_Method1,3,1)</f>
        <v>Milking shed</v>
      </c>
      <c r="E77" s="15" t="str">
        <f>INDEX(X_Table_Dairy_Stage1MMS_1_SumpAndDispersal,2,1)</f>
        <v>Sump and dispersal system</v>
      </c>
      <c r="F77" s="15" cm="1">
        <f t="array" aca="1" ref="F77" ca="1">MMS_Dairy_ManureAppliedToSoils_Equations.VEERG_4_3_1_8__1_MassOfNitrogenAppliedToSoilsScope1(F41,_xlfn.XLOOKUP($E77,$D$22:$D$26,$E$22:$E$26),_xlfn.XLOOKUP($E77, $D$31:$D$35,$E$31:$E$35),F53,$F65)</f>
        <v>278.47412465110807</v>
      </c>
      <c r="G77" s="15" cm="1">
        <f t="array" aca="1" ref="G77" ca="1">MMS_Dairy_ManureAppliedToSoils_Equations.VEERG_4_3_1_8__1_MassOfNitrogenAppliedToSoilsScope1(G41,_xlfn.XLOOKUP($E77,$D$22:$D$26,$E$22:$E$26),_xlfn.XLOOKUP($E77, $D$31:$D$35,$E$31:$E$35),G53,$F65)</f>
        <v>127.19463711777999</v>
      </c>
      <c r="H77" s="15" cm="1">
        <f t="array" aca="1" ref="H77" ca="1">MMS_Dairy_ManureAppliedToSoils_Equations.VEERG_4_3_1_8__1_MassOfNitrogenAppliedToSoilsScope1(H41,_xlfn.XLOOKUP($E77,$D$22:$D$26,$E$22:$E$26),_xlfn.XLOOKUP($E77, $D$31:$D$35,$E$31:$E$35),H53,$F65)</f>
        <v>50.660278826380789</v>
      </c>
      <c r="I77" s="15" cm="1">
        <f t="array" aca="1" ref="I77" ca="1">MMS_Dairy_ManureAppliedToSoils_Equations.VEERG_4_3_1_8__1_MassOfNitrogenAppliedToSoilsScope1(I41,_xlfn.XLOOKUP($E77,$D$22:$D$26,$E$22:$E$26),_xlfn.XLOOKUP($E77, $D$31:$D$35,$E$31:$E$35),I53,$F65)</f>
        <v>159.88868927855822</v>
      </c>
      <c r="J77" s="15" cm="1">
        <f t="array" aca="1" ref="J77" ca="1">MMS_Dairy_ManureAppliedToSoils_Equations.VEERG_4_3_1_8__1_MassOfNitrogenAppliedToSoilsScope1(J41,_xlfn.XLOOKUP($E77,$D$22:$D$26,$E$22:$E$26),_xlfn.XLOOKUP($E77, $D$31:$D$35,$E$31:$E$35),J53,$F65)</f>
        <v>66.934092812641154</v>
      </c>
      <c r="K77" s="16"/>
      <c r="O77" s="15" t="str">
        <f>INDEX(X_Table_Dairy_ProductionSystems_Method1,3,1)</f>
        <v>Milking shed</v>
      </c>
      <c r="P77" s="15" t="str">
        <f>INDEX(X_Table_Dairy_Stage1MMS_1_SumpAndDispersal,2,1)</f>
        <v>Sump and dispersal system</v>
      </c>
      <c r="Q77" s="15" cm="1">
        <f t="array" aca="1" ref="Q77" ca="1">MMS_Dairy_ManureAppliedToSoils_Equations.VEERG_4_3_1_8__1_MassOfNitrogenAppliedToSoilsScope1(Q41,_xlfn.XLOOKUP($P77,$D$22:$D$26,$E$22:$E$26),_xlfn.XLOOKUP($P77, $D$31:$D$35,$E$31:$E$35),Q53,$F65)</f>
        <v>278.47412465110807</v>
      </c>
      <c r="R77" s="15" cm="1">
        <f t="array" aca="1" ref="R77" ca="1">MMS_Dairy_ManureAppliedToSoils_Equations.VEERG_4_3_1_8__1_MassOfNitrogenAppliedToSoilsScope1(R41,_xlfn.XLOOKUP($P77,$D$22:$D$26,$E$22:$E$26),_xlfn.XLOOKUP($P77, $D$31:$D$35,$E$31:$E$35),R53,$F65)</f>
        <v>127.19463711777999</v>
      </c>
      <c r="S77" s="15" cm="1">
        <f t="array" aca="1" ref="S77" ca="1">MMS_Dairy_ManureAppliedToSoils_Equations.VEERG_4_3_1_8__1_MassOfNitrogenAppliedToSoilsScope1(S41,_xlfn.XLOOKUP($P77,$D$22:$D$26,$E$22:$E$26),_xlfn.XLOOKUP($P77, $D$31:$D$35,$E$31:$E$35),S53,$F65)</f>
        <v>50.660278826380789</v>
      </c>
      <c r="T77" s="15" cm="1">
        <f t="array" aca="1" ref="T77" ca="1">MMS_Dairy_ManureAppliedToSoils_Equations.VEERG_4_3_1_8__1_MassOfNitrogenAppliedToSoilsScope1(T41,_xlfn.XLOOKUP($P77,$D$22:$D$26,$E$22:$E$26),_xlfn.XLOOKUP($P77, $D$31:$D$35,$E$31:$E$35),T53,$F65)</f>
        <v>159.88868927855822</v>
      </c>
      <c r="U77" s="15" cm="1">
        <f t="array" aca="1" ref="U77" ca="1">MMS_Dairy_ManureAppliedToSoils_Equations.VEERG_4_3_1_8__1_MassOfNitrogenAppliedToSoilsScope1(U41,_xlfn.XLOOKUP($P77,$D$22:$D$26,$E$22:$E$26),_xlfn.XLOOKUP($P77, $D$31:$D$35,$E$31:$E$35),U53,$F65)</f>
        <v>66.934092812641154</v>
      </c>
      <c r="V77" s="16"/>
    </row>
    <row r="78" spans="1:22" ht="20.100000000000001" customHeight="1" x14ac:dyDescent="0.25">
      <c r="D78" s="15" t="str">
        <f>INDEX(X_Table_Dairy_ProductionSystems_Method1,3,1)</f>
        <v>Milking shed</v>
      </c>
      <c r="E78" s="15" t="str">
        <f>INDEX(X_Table_Dairy_Stage1MMS_1_DrainsToPaddock,2,1)</f>
        <v>Drains to paddock</v>
      </c>
      <c r="F78" s="15" cm="1">
        <f t="array" aca="1" ref="F78" ca="1">MMS_Dairy_ManureAppliedToSoils_Equations.VEERG_4_3_1_8__1_MassOfNitrogenAppliedToSoilsScope1(F42,_xlfn.XLOOKUP($E78,$D$22:$D$26,$E$22:$E$26),_xlfn.XLOOKUP($E78, $D$31:$D$35,$E$31:$E$35),F54,$F66)</f>
        <v>239.54763410848008</v>
      </c>
      <c r="G78" s="15" cm="1">
        <f t="array" aca="1" ref="G78" ca="1">MMS_Dairy_ManureAppliedToSoils_Equations.VEERG_4_3_1_8__1_MassOfNitrogenAppliedToSoilsScope1(G42,_xlfn.XLOOKUP($E78,$D$22:$D$26,$E$22:$E$26),_xlfn.XLOOKUP($E78, $D$31:$D$35,$E$31:$E$35),G54,$F66)</f>
        <v>109.41474160669247</v>
      </c>
      <c r="H78" s="15" cm="1">
        <f t="array" aca="1" ref="H78" ca="1">MMS_Dairy_ManureAppliedToSoils_Equations.VEERG_4_3_1_8__1_MassOfNitrogenAppliedToSoilsScope1(H42,_xlfn.XLOOKUP($E78,$D$22:$D$26,$E$22:$E$26),_xlfn.XLOOKUP($E78, $D$31:$D$35,$E$31:$E$35),H54,$F66)</f>
        <v>43.57873447430606</v>
      </c>
      <c r="I78" s="15" cm="1">
        <f t="array" aca="1" ref="I78" ca="1">MMS_Dairy_ManureAppliedToSoils_Equations.VEERG_4_3_1_8__1_MassOfNitrogenAppliedToSoilsScope1(I42,_xlfn.XLOOKUP($E78,$D$22:$D$26,$E$22:$E$26),_xlfn.XLOOKUP($E78, $D$31:$D$35,$E$31:$E$35),I54,$F66)</f>
        <v>137.53865744392107</v>
      </c>
      <c r="J78" s="15" cm="1">
        <f t="array" aca="1" ref="J78" ca="1">MMS_Dairy_ManureAppliedToSoils_Equations.VEERG_4_3_1_8__1_MassOfNitrogenAppliedToSoilsScope1(J42,_xlfn.XLOOKUP($E78,$D$22:$D$26,$E$22:$E$26),_xlfn.XLOOKUP($E78, $D$31:$D$35,$E$31:$E$35),J54,$F66)</f>
        <v>57.577714247433249</v>
      </c>
      <c r="K78" s="16"/>
      <c r="O78" s="15" t="str">
        <f>INDEX(X_Table_Dairy_ProductionSystems_Method1,3,1)</f>
        <v>Milking shed</v>
      </c>
      <c r="P78" s="15" t="str">
        <f>INDEX(X_Table_Dairy_Stage1MMS_1_DrainsToPaddock,2,1)</f>
        <v>Drains to paddock</v>
      </c>
      <c r="Q78" s="15" cm="1">
        <f t="array" aca="1" ref="Q78" ca="1">MMS_Dairy_ManureAppliedToSoils_Equations.VEERG_4_3_1_8__1_MassOfNitrogenAppliedToSoilsScope1(Q42,_xlfn.XLOOKUP($P78,$D$22:$D$26,$E$22:$E$26),_xlfn.XLOOKUP($P78, $D$31:$D$35,$E$31:$E$35),Q54,$F66)</f>
        <v>239.54763410848008</v>
      </c>
      <c r="R78" s="15" cm="1">
        <f t="array" aca="1" ref="R78" ca="1">MMS_Dairy_ManureAppliedToSoils_Equations.VEERG_4_3_1_8__1_MassOfNitrogenAppliedToSoilsScope1(R42,_xlfn.XLOOKUP($P78,$D$22:$D$26,$E$22:$E$26),_xlfn.XLOOKUP($P78, $D$31:$D$35,$E$31:$E$35),R54,$F66)</f>
        <v>109.41474160669247</v>
      </c>
      <c r="S78" s="15" cm="1">
        <f t="array" aca="1" ref="S78" ca="1">MMS_Dairy_ManureAppliedToSoils_Equations.VEERG_4_3_1_8__1_MassOfNitrogenAppliedToSoilsScope1(S42,_xlfn.XLOOKUP($P78,$D$22:$D$26,$E$22:$E$26),_xlfn.XLOOKUP($P78, $D$31:$D$35,$E$31:$E$35),S54,$F66)</f>
        <v>43.57873447430606</v>
      </c>
      <c r="T78" s="15" cm="1">
        <f t="array" aca="1" ref="T78" ca="1">MMS_Dairy_ManureAppliedToSoils_Equations.VEERG_4_3_1_8__1_MassOfNitrogenAppliedToSoilsScope1(T42,_xlfn.XLOOKUP($P78,$D$22:$D$26,$E$22:$E$26),_xlfn.XLOOKUP($P78, $D$31:$D$35,$E$31:$E$35),T54,$F66)</f>
        <v>137.53865744392107</v>
      </c>
      <c r="U78" s="15" cm="1">
        <f t="array" aca="1" ref="U78" ca="1">MMS_Dairy_ManureAppliedToSoils_Equations.VEERG_4_3_1_8__1_MassOfNitrogenAppliedToSoilsScope1(U42,_xlfn.XLOOKUP($P78,$D$22:$D$26,$E$22:$E$26),_xlfn.XLOOKUP($P78, $D$31:$D$35,$E$31:$E$35),U54,$F66)</f>
        <v>57.577714247433249</v>
      </c>
      <c r="V78" s="16"/>
    </row>
    <row r="79" spans="1:22" ht="20.100000000000001" customHeight="1" x14ac:dyDescent="0.25">
      <c r="D79" s="15" t="str">
        <f>INDEX(X_Table_Dairy_ProductionSystems_Method1,3,1)</f>
        <v>Milking shed</v>
      </c>
      <c r="E79" s="15" t="s">
        <v>75</v>
      </c>
      <c r="F79" s="15" cm="1">
        <f t="array" aca="1" ref="F79" ca="1">MMS_Dairy_ManureAppliedToSoils_Equations.VEERG_4_3_1_8__1_MassOfNitrogenAppliedToSoilsScope1(F43,_xlfn.XLOOKUP($E79,$D$22:$D$26,$E$22:$E$26),_xlfn.XLOOKUP($E79, $D$31:$D$35,$E$31:$E$35),F55,$F67)</f>
        <v>404.23663255806008</v>
      </c>
      <c r="G79" s="15" cm="1">
        <f t="array" aca="1" ref="G79" ca="1">MMS_Dairy_ManureAppliedToSoils_Equations.VEERG_4_3_1_8__1_MassOfNitrogenAppliedToSoilsScope1(G43,_xlfn.XLOOKUP($E79,$D$22:$D$26,$E$22:$E$26),_xlfn.XLOOKUP($E79, $D$31:$D$35,$E$31:$E$35),G55,$F67)</f>
        <v>184.63737646129354</v>
      </c>
      <c r="H79" s="15" cm="1">
        <f t="array" aca="1" ref="H79" ca="1">MMS_Dairy_ManureAppliedToSoils_Equations.VEERG_4_3_1_8__1_MassOfNitrogenAppliedToSoilsScope1(H43,_xlfn.XLOOKUP($E79,$D$22:$D$26,$E$22:$E$26),_xlfn.XLOOKUP($E79, $D$31:$D$35,$E$31:$E$35),H55,$F67)</f>
        <v>73.539114425391446</v>
      </c>
      <c r="I79" s="15" cm="1">
        <f t="array" aca="1" ref="I79" ca="1">MMS_Dairy_ManureAppliedToSoils_Equations.VEERG_4_3_1_8__1_MassOfNitrogenAppliedToSoilsScope1(I43,_xlfn.XLOOKUP($E79,$D$22:$D$26,$E$22:$E$26),_xlfn.XLOOKUP($E79, $D$31:$D$35,$E$31:$E$35),I55,$F67)</f>
        <v>232.09648443661678</v>
      </c>
      <c r="J79" s="15" cm="1">
        <f t="array" aca="1" ref="J79" ca="1">MMS_Dairy_ManureAppliedToSoils_Equations.VEERG_4_3_1_8__1_MassOfNitrogenAppliedToSoilsScope1(J43,_xlfn.XLOOKUP($E79,$D$22:$D$26,$E$22:$E$26),_xlfn.XLOOKUP($E79, $D$31:$D$35,$E$31:$E$35),J55,$F67)</f>
        <v>97.162392792543585</v>
      </c>
      <c r="K79" s="16"/>
      <c r="O79" s="15" t="str">
        <f>INDEX(X_Table_Dairy_ProductionSystems_Method1,3,1)</f>
        <v>Milking shed</v>
      </c>
      <c r="P79" s="15" t="s">
        <v>75</v>
      </c>
      <c r="Q79" s="15" cm="1">
        <f t="array" aca="1" ref="Q79" ca="1">MMS_Dairy_ManureAppliedToSoils_Equations.VEERG_4_3_1_8__1_MassOfNitrogenAppliedToSoilsScope1(Q43,_xlfn.XLOOKUP($P79,$D$22:$D$26,$E$22:$E$26),_xlfn.XLOOKUP($P79, $D$31:$D$35,$E$31:$E$35),Q55,$F67)</f>
        <v>404.23663255806008</v>
      </c>
      <c r="R79" s="15" cm="1">
        <f t="array" aca="1" ref="R79" ca="1">MMS_Dairy_ManureAppliedToSoils_Equations.VEERG_4_3_1_8__1_MassOfNitrogenAppliedToSoilsScope1(R43,_xlfn.XLOOKUP($P79,$D$22:$D$26,$E$22:$E$26),_xlfn.XLOOKUP($P79, $D$31:$D$35,$E$31:$E$35),R55,$F67)</f>
        <v>184.63737646129354</v>
      </c>
      <c r="S79" s="15" cm="1">
        <f t="array" aca="1" ref="S79" ca="1">MMS_Dairy_ManureAppliedToSoils_Equations.VEERG_4_3_1_8__1_MassOfNitrogenAppliedToSoilsScope1(S43,_xlfn.XLOOKUP($P79,$D$22:$D$26,$E$22:$E$26),_xlfn.XLOOKUP($P79, $D$31:$D$35,$E$31:$E$35),S55,$F67)</f>
        <v>73.539114425391446</v>
      </c>
      <c r="T79" s="15" cm="1">
        <f t="array" aca="1" ref="T79" ca="1">MMS_Dairy_ManureAppliedToSoils_Equations.VEERG_4_3_1_8__1_MassOfNitrogenAppliedToSoilsScope1(T43,_xlfn.XLOOKUP($P79,$D$22:$D$26,$E$22:$E$26),_xlfn.XLOOKUP($P79, $D$31:$D$35,$E$31:$E$35),T55,$F67)</f>
        <v>232.09648443661678</v>
      </c>
      <c r="U79" s="15" cm="1">
        <f t="array" aca="1" ref="U79" ca="1">MMS_Dairy_ManureAppliedToSoils_Equations.VEERG_4_3_1_8__1_MassOfNitrogenAppliedToSoilsScope1(U43,_xlfn.XLOOKUP($P79,$D$22:$D$26,$E$22:$E$26),_xlfn.XLOOKUP($P79, $D$31:$D$35,$E$31:$E$35),U55,$F67)</f>
        <v>97.162392792543585</v>
      </c>
      <c r="V79" s="16"/>
    </row>
    <row r="80" spans="1:22" ht="20.100000000000001" customHeight="1" x14ac:dyDescent="0.25">
      <c r="D80" s="15" t="str">
        <f>INDEX(X_Table_Dairy_ProductionSystems_Method1,4,1)</f>
        <v>Feed pad</v>
      </c>
      <c r="E80" s="15" t="str">
        <f>INDEX(X_Table_Dairy_Stage1MMS_2_AnaerobicLagoon,2,1)</f>
        <v>Anaerobic lagoon</v>
      </c>
      <c r="F80" s="15" cm="1">
        <f t="array" aca="1" ref="F80" ca="1">MMS_Dairy_ManureAppliedToSoils_Equations.VEERG_4_3_1_8__1_MassOfNitrogenAppliedToSoilsScope1(F44,_xlfn.XLOOKUP($E80,$D$22:$D$26,$E$22:$E$26),_xlfn.XLOOKUP($E80, $D$31:$D$35,$E$31:$E$35),F56,$F68)</f>
        <v>787.37674052133912</v>
      </c>
      <c r="G80" s="15" cm="1">
        <f t="array" aca="1" ref="G80" ca="1">MMS_Dairy_ManureAppliedToSoils_Equations.VEERG_4_3_1_8__1_MassOfNitrogenAppliedToSoilsScope1(G44,_xlfn.XLOOKUP($E80,$D$22:$D$26,$E$22:$E$26),_xlfn.XLOOKUP($E80, $D$31:$D$35,$E$31:$E$35),G56,$F68)</f>
        <v>359.63879556517946</v>
      </c>
      <c r="H80" s="15" cm="1">
        <f t="array" aca="1" ref="H80" ca="1">MMS_Dairy_ManureAppliedToSoils_Equations.VEERG_4_3_1_8__1_MassOfNitrogenAppliedToSoilsScope1(H44,_xlfn.XLOOKUP($E80,$D$22:$D$26,$E$22:$E$26),_xlfn.XLOOKUP($E80, $D$31:$D$35,$E$31:$E$35),H56,$F68)</f>
        <v>143.24032893969348</v>
      </c>
      <c r="I80" s="15" cm="1">
        <f t="array" aca="1" ref="I80" ca="1">MMS_Dairy_ManureAppliedToSoils_Equations.VEERG_4_3_1_8__1_MassOfNitrogenAppliedToSoilsScope1(I44,_xlfn.XLOOKUP($E80,$D$22:$D$26,$E$22:$E$26),_xlfn.XLOOKUP($E80, $D$31:$D$35,$E$31:$E$35),I56,$F68)</f>
        <v>452.08018938243373</v>
      </c>
      <c r="J80" s="15" cm="1">
        <f t="array" aca="1" ref="J80" ca="1">MMS_Dairy_ManureAppliedToSoils_Equations.VEERG_4_3_1_8__1_MassOfNitrogenAppliedToSoilsScope1(J44,_xlfn.XLOOKUP($E80,$D$22:$D$26,$E$22:$E$26),_xlfn.XLOOKUP($E80, $D$31:$D$35,$E$31:$E$35),J56,$F68)</f>
        <v>189.25402097806892</v>
      </c>
      <c r="K80" s="16"/>
      <c r="O80" s="15" t="str">
        <f>INDEX(X_Table_Dairy_ProductionSystems_Method1,4,1)</f>
        <v>Feed pad</v>
      </c>
      <c r="P80" s="15" t="str">
        <f>INDEX(X_Table_Dairy_Stage1MMS_2_AnaerobicLagoon,2,1)</f>
        <v>Anaerobic lagoon</v>
      </c>
      <c r="Q80" s="15" cm="1">
        <f t="array" aca="1" ref="Q80" ca="1">MMS_Dairy_ManureAppliedToSoils_Equations.VEERG_4_3_1_8__1_MassOfNitrogenAppliedToSoilsScope1(Q44,_xlfn.XLOOKUP($P80,$D$22:$D$26,$E$22:$E$26),_xlfn.XLOOKUP($P80, $D$31:$D$35,$E$31:$E$35),Q56,$F68)</f>
        <v>787.37674052133912</v>
      </c>
      <c r="R80" s="15" cm="1">
        <f t="array" aca="1" ref="R80" ca="1">MMS_Dairy_ManureAppliedToSoils_Equations.VEERG_4_3_1_8__1_MassOfNitrogenAppliedToSoilsScope1(R44,_xlfn.XLOOKUP($P80,$D$22:$D$26,$E$22:$E$26),_xlfn.XLOOKUP($P80, $D$31:$D$35,$E$31:$E$35),R56,$F68)</f>
        <v>359.63879556517946</v>
      </c>
      <c r="S80" s="15" cm="1">
        <f t="array" aca="1" ref="S80" ca="1">MMS_Dairy_ManureAppliedToSoils_Equations.VEERG_4_3_1_8__1_MassOfNitrogenAppliedToSoilsScope1(S44,_xlfn.XLOOKUP($P80,$D$22:$D$26,$E$22:$E$26),_xlfn.XLOOKUP($P80, $D$31:$D$35,$E$31:$E$35),S56,$F68)</f>
        <v>143.24032893969348</v>
      </c>
      <c r="T80" s="15" cm="1">
        <f t="array" aca="1" ref="T80" ca="1">MMS_Dairy_ManureAppliedToSoils_Equations.VEERG_4_3_1_8__1_MassOfNitrogenAppliedToSoilsScope1(T44,_xlfn.XLOOKUP($P80,$D$22:$D$26,$E$22:$E$26),_xlfn.XLOOKUP($P80, $D$31:$D$35,$E$31:$E$35),T56,$F68)</f>
        <v>452.08018938243373</v>
      </c>
      <c r="U80" s="15" cm="1">
        <f t="array" aca="1" ref="U80" ca="1">MMS_Dairy_ManureAppliedToSoils_Equations.VEERG_4_3_1_8__1_MassOfNitrogenAppliedToSoilsScope1(U44,_xlfn.XLOOKUP($P80,$D$22:$D$26,$E$22:$E$26),_xlfn.XLOOKUP($P80, $D$31:$D$35,$E$31:$E$35),U56,$F68)</f>
        <v>189.25402097806892</v>
      </c>
      <c r="V80" s="16"/>
    </row>
    <row r="81" spans="3:23" ht="20.100000000000001" customHeight="1" x14ac:dyDescent="0.25">
      <c r="D81" s="15" t="str">
        <f>INDEX(X_Table_Dairy_ProductionSystems_Method1,4,1)</f>
        <v>Feed pad</v>
      </c>
      <c r="E81" s="15" t="str">
        <f>INDEX(X_Table_Dairy_Stage1MMS_2_SumpAndDispersal,2,1)</f>
        <v>Sump and dispersal system</v>
      </c>
      <c r="F81" s="15" cm="1">
        <f t="array" aca="1" ref="F81" ca="1">MMS_Dairy_ManureAppliedToSoils_Equations.VEERG_4_3_1_8__1_MassOfNitrogenAppliedToSoilsScope1(F45,_xlfn.XLOOKUP($E81,$D$22:$D$26,$E$22:$E$26),_xlfn.XLOOKUP($E81, $D$31:$D$35,$E$31:$E$35),F57,$F69)</f>
        <v>901.24353068904043</v>
      </c>
      <c r="G81" s="15" cm="1">
        <f t="array" aca="1" ref="G81" ca="1">MMS_Dairy_ManureAppliedToSoils_Equations.VEERG_4_3_1_8__1_MassOfNitrogenAppliedToSoilsScope1(G45,_xlfn.XLOOKUP($E81,$D$22:$D$26,$E$22:$E$26),_xlfn.XLOOKUP($E81, $D$31:$D$35,$E$31:$E$35),G57,$F69)</f>
        <v>411.64809830845161</v>
      </c>
      <c r="H81" s="15" cm="1">
        <f t="array" aca="1" ref="H81" ca="1">MMS_Dairy_ManureAppliedToSoils_Equations.VEERG_4_3_1_8__1_MassOfNitrogenAppliedToSoilsScope1(H45,_xlfn.XLOOKUP($E81,$D$22:$D$26,$E$22:$E$26),_xlfn.XLOOKUP($E81, $D$31:$D$35,$E$31:$E$35),H57,$F69)</f>
        <v>163.95508420174144</v>
      </c>
      <c r="I81" s="15" cm="1">
        <f t="array" aca="1" ref="I81" ca="1">MMS_Dairy_ManureAppliedToSoils_Equations.VEERG_4_3_1_8__1_MassOfNitrogenAppliedToSoilsScope1(I45,_xlfn.XLOOKUP($E81,$D$22:$D$26,$E$22:$E$26),_xlfn.XLOOKUP($E81, $D$31:$D$35,$E$31:$E$35),I57,$F69)</f>
        <v>517.45793984697025</v>
      </c>
      <c r="J81" s="15" cm="1">
        <f t="array" aca="1" ref="J81" ca="1">MMS_Dairy_ManureAppliedToSoils_Equations.VEERG_4_3_1_8__1_MassOfNitrogenAppliedToSoilsScope1(J45,_xlfn.XLOOKUP($E81,$D$22:$D$26,$E$22:$E$26),_xlfn.XLOOKUP($E81, $D$31:$D$35,$E$31:$E$35),J57,$F69)</f>
        <v>216.62306401182042</v>
      </c>
      <c r="K81" s="16"/>
      <c r="O81" s="15" t="str">
        <f>INDEX(X_Table_Dairy_ProductionSystems_Method1,4,1)</f>
        <v>Feed pad</v>
      </c>
      <c r="P81" s="15" t="str">
        <f>INDEX(X_Table_Dairy_Stage1MMS_2_SumpAndDispersal,2,1)</f>
        <v>Sump and dispersal system</v>
      </c>
      <c r="Q81" s="15" cm="1">
        <f t="array" aca="1" ref="Q81" ca="1">MMS_Dairy_ManureAppliedToSoils_Equations.VEERG_4_3_1_8__1_MassOfNitrogenAppliedToSoilsScope1(Q45,_xlfn.XLOOKUP($P81,$D$22:$D$26,$E$22:$E$26),_xlfn.XLOOKUP($P81, $D$31:$D$35,$E$31:$E$35),Q57,$F69)</f>
        <v>901.24353068904043</v>
      </c>
      <c r="R81" s="15" cm="1">
        <f t="array" aca="1" ref="R81" ca="1">MMS_Dairy_ManureAppliedToSoils_Equations.VEERG_4_3_1_8__1_MassOfNitrogenAppliedToSoilsScope1(R45,_xlfn.XLOOKUP($P81,$D$22:$D$26,$E$22:$E$26),_xlfn.XLOOKUP($P81, $D$31:$D$35,$E$31:$E$35),R57,$F69)</f>
        <v>411.64809830845161</v>
      </c>
      <c r="S81" s="15" cm="1">
        <f t="array" aca="1" ref="S81" ca="1">MMS_Dairy_ManureAppliedToSoils_Equations.VEERG_4_3_1_8__1_MassOfNitrogenAppliedToSoilsScope1(S45,_xlfn.XLOOKUP($P81,$D$22:$D$26,$E$22:$E$26),_xlfn.XLOOKUP($P81, $D$31:$D$35,$E$31:$E$35),S57,$F69)</f>
        <v>163.95508420174144</v>
      </c>
      <c r="T81" s="15" cm="1">
        <f t="array" aca="1" ref="T81" ca="1">MMS_Dairy_ManureAppliedToSoils_Equations.VEERG_4_3_1_8__1_MassOfNitrogenAppliedToSoilsScope1(T45,_xlfn.XLOOKUP($P81,$D$22:$D$26,$E$22:$E$26),_xlfn.XLOOKUP($P81, $D$31:$D$35,$E$31:$E$35),T57,$F69)</f>
        <v>517.45793984697025</v>
      </c>
      <c r="U81" s="15" cm="1">
        <f t="array" aca="1" ref="U81" ca="1">MMS_Dairy_ManureAppliedToSoils_Equations.VEERG_4_3_1_8__1_MassOfNitrogenAppliedToSoilsScope1(U45,_xlfn.XLOOKUP($P81,$D$22:$D$26,$E$22:$E$26),_xlfn.XLOOKUP($P81, $D$31:$D$35,$E$31:$E$35),U57,$F69)</f>
        <v>216.62306401182042</v>
      </c>
      <c r="V81" s="16"/>
    </row>
    <row r="82" spans="3:23" ht="20.100000000000001" customHeight="1" x14ac:dyDescent="0.25">
      <c r="D82" s="15" t="str">
        <f>INDEX(X_Table_Dairy_ProductionSystems_Method1,4,1)</f>
        <v>Feed pad</v>
      </c>
      <c r="E82" s="15" t="str">
        <f>INDEX(X_Table_Dairy_Stage1MMS_2_DrainsToPaddock,2,1)</f>
        <v>Drains to paddock</v>
      </c>
      <c r="F82" s="15" cm="1">
        <f t="array" aca="1" ref="F82" ca="1">MMS_Dairy_ManureAppliedToSoils_Equations.VEERG_4_3_1_8__1_MassOfNitrogenAppliedToSoilsScope1(F46,_xlfn.XLOOKUP($E82,$D$22:$D$26,$E$22:$E$26),_xlfn.XLOOKUP($E82, $D$31:$D$35,$E$31:$E$35),F58,$F70)</f>
        <v>775.26325220562626</v>
      </c>
      <c r="G82" s="15" cm="1">
        <f t="array" aca="1" ref="G82" ca="1">MMS_Dairy_ManureAppliedToSoils_Equations.VEERG_4_3_1_8__1_MassOfNitrogenAppliedToSoilsScope1(G46,_xlfn.XLOOKUP($E82,$D$22:$D$26,$E$22:$E$26),_xlfn.XLOOKUP($E82, $D$31:$D$35,$E$31:$E$35),G58,$F70)</f>
        <v>354.10589101802293</v>
      </c>
      <c r="H82" s="15" cm="1">
        <f t="array" aca="1" ref="H82" ca="1">MMS_Dairy_ManureAppliedToSoils_Equations.VEERG_4_3_1_8__1_MassOfNitrogenAppliedToSoilsScope1(H46,_xlfn.XLOOKUP($E82,$D$22:$D$26,$E$22:$E$26),_xlfn.XLOOKUP($E82, $D$31:$D$35,$E$31:$E$35),H58,$F70)</f>
        <v>141.0366315713905</v>
      </c>
      <c r="I82" s="15" cm="1">
        <f t="array" aca="1" ref="I82" ca="1">MMS_Dairy_ManureAppliedToSoils_Equations.VEERG_4_3_1_8__1_MassOfNitrogenAppliedToSoilsScope1(I46,_xlfn.XLOOKUP($E82,$D$22:$D$26,$E$22:$E$26),_xlfn.XLOOKUP($E82, $D$31:$D$35,$E$31:$E$35),I58,$F70)</f>
        <v>445.1251095457809</v>
      </c>
      <c r="J82" s="15" cm="1">
        <f t="array" aca="1" ref="J82" ca="1">MMS_Dairy_ManureAppliedToSoils_Equations.VEERG_4_3_1_8__1_MassOfNitrogenAppliedToSoilsScope1(J46,_xlfn.XLOOKUP($E82,$D$22:$D$26,$E$22:$E$26),_xlfn.XLOOKUP($E82, $D$31:$D$35,$E$31:$E$35),J58,$F70)</f>
        <v>186.34242065532939</v>
      </c>
      <c r="K82" s="16"/>
      <c r="O82" s="15" t="str">
        <f>INDEX(X_Table_Dairy_ProductionSystems_Method1,4,1)</f>
        <v>Feed pad</v>
      </c>
      <c r="P82" s="15" t="str">
        <f>INDEX(X_Table_Dairy_Stage1MMS_2_DrainsToPaddock,2,1)</f>
        <v>Drains to paddock</v>
      </c>
      <c r="Q82" s="15" cm="1">
        <f t="array" aca="1" ref="Q82" ca="1">MMS_Dairy_ManureAppliedToSoils_Equations.VEERG_4_3_1_8__1_MassOfNitrogenAppliedToSoilsScope1(Q46,_xlfn.XLOOKUP($P82,$D$22:$D$26,$E$22:$E$26),_xlfn.XLOOKUP($P82, $D$31:$D$35,$E$31:$E$35),Q58,$F70)</f>
        <v>775.26325220562626</v>
      </c>
      <c r="R82" s="15" cm="1">
        <f t="array" aca="1" ref="R82" ca="1">MMS_Dairy_ManureAppliedToSoils_Equations.VEERG_4_3_1_8__1_MassOfNitrogenAppliedToSoilsScope1(R46,_xlfn.XLOOKUP($P82,$D$22:$D$26,$E$22:$E$26),_xlfn.XLOOKUP($P82, $D$31:$D$35,$E$31:$E$35),R58,$F70)</f>
        <v>354.10589101802293</v>
      </c>
      <c r="S82" s="15" cm="1">
        <f t="array" aca="1" ref="S82" ca="1">MMS_Dairy_ManureAppliedToSoils_Equations.VEERG_4_3_1_8__1_MassOfNitrogenAppliedToSoilsScope1(S46,_xlfn.XLOOKUP($P82,$D$22:$D$26,$E$22:$E$26),_xlfn.XLOOKUP($P82, $D$31:$D$35,$E$31:$E$35),S58,$F70)</f>
        <v>141.0366315713905</v>
      </c>
      <c r="T82" s="15" cm="1">
        <f t="array" aca="1" ref="T82" ca="1">MMS_Dairy_ManureAppliedToSoils_Equations.VEERG_4_3_1_8__1_MassOfNitrogenAppliedToSoilsScope1(T46,_xlfn.XLOOKUP($P82,$D$22:$D$26,$E$22:$E$26),_xlfn.XLOOKUP($P82, $D$31:$D$35,$E$31:$E$35),T58,$F70)</f>
        <v>445.1251095457809</v>
      </c>
      <c r="U82" s="15" cm="1">
        <f t="array" aca="1" ref="U82" ca="1">MMS_Dairy_ManureAppliedToSoils_Equations.VEERG_4_3_1_8__1_MassOfNitrogenAppliedToSoilsScope1(U46,_xlfn.XLOOKUP($P82,$D$22:$D$26,$E$22:$E$26),_xlfn.XLOOKUP($P82, $D$31:$D$35,$E$31:$E$35),U58,$F70)</f>
        <v>186.34242065532939</v>
      </c>
      <c r="V82" s="16"/>
    </row>
    <row r="83" spans="3:23" ht="20.100000000000001" customHeight="1" x14ac:dyDescent="0.25">
      <c r="D83" s="15" t="str">
        <f>INDEX(X_Table_Dairy_ProductionSystems_Method1,4,1)</f>
        <v>Feed pad</v>
      </c>
      <c r="E83" s="15" t="s">
        <v>75</v>
      </c>
      <c r="F83" s="15" cm="1">
        <f t="array" aca="1" ref="F83" ca="1">MMS_Dairy_ManureAppliedToSoils_Equations.VEERG_4_3_1_8__1_MassOfNitrogenAppliedToSoilsScope1(F47,_xlfn.XLOOKUP($E83,$D$22:$D$26,$E$22:$E$26),_xlfn.XLOOKUP($E83, $D$31:$D$35,$E$31:$E$35),F59,$F71)</f>
        <v>1144.72464583487</v>
      </c>
      <c r="G83" s="15" cm="1">
        <f t="array" aca="1" ref="G83" ca="1">MMS_Dairy_ManureAppliedToSoils_Equations.VEERG_4_3_1_8__1_MassOfNitrogenAppliedToSoilsScope1(G47,_xlfn.XLOOKUP($E83,$D$22:$D$26,$E$22:$E$26),_xlfn.XLOOKUP($E83, $D$31:$D$35,$E$31:$E$35),G59,$F71)</f>
        <v>522.85947970629945</v>
      </c>
      <c r="H83" s="15" cm="1">
        <f t="array" aca="1" ref="H83" ca="1">MMS_Dairy_ManureAppliedToSoils_Equations.VEERG_4_3_1_8__1_MassOfNitrogenAppliedToSoilsScope1(H47,_xlfn.XLOOKUP($E83,$D$22:$D$26,$E$22:$E$26),_xlfn.XLOOKUP($E83, $D$31:$D$35,$E$31:$E$35),H59,$F71)</f>
        <v>208.24940130463128</v>
      </c>
      <c r="I83" s="15" cm="1">
        <f t="array" aca="1" ref="I83" ca="1">MMS_Dairy_ManureAppliedToSoils_Equations.VEERG_4_3_1_8__1_MassOfNitrogenAppliedToSoilsScope1(I47,_xlfn.XLOOKUP($E83,$D$22:$D$26,$E$22:$E$26),_xlfn.XLOOKUP($E83, $D$31:$D$35,$E$31:$E$35),I59,$F71)</f>
        <v>657.25504456369208</v>
      </c>
      <c r="J83" s="15" cm="1">
        <f t="array" aca="1" ref="J83" ca="1">MMS_Dairy_ManureAppliedToSoils_Equations.VEERG_4_3_1_8__1_MassOfNitrogenAppliedToSoilsScope1(J47,_xlfn.XLOOKUP($E83,$D$22:$D$26,$E$22:$E$26),_xlfn.XLOOKUP($E83, $D$31:$D$35,$E$31:$E$35),J59,$F71)</f>
        <v>275.14623049888485</v>
      </c>
      <c r="K83" s="16"/>
      <c r="O83" s="15" t="str">
        <f>INDEX(X_Table_Dairy_ProductionSystems_Method1,4,1)</f>
        <v>Feed pad</v>
      </c>
      <c r="P83" s="15" t="s">
        <v>75</v>
      </c>
      <c r="Q83" s="15" cm="1">
        <f t="array" aca="1" ref="Q83" ca="1">MMS_Dairy_ManureAppliedToSoils_Equations.VEERG_4_3_1_8__1_MassOfNitrogenAppliedToSoilsScope1(Q47,_xlfn.XLOOKUP($P83,$D$22:$D$26,$E$22:$E$26),_xlfn.XLOOKUP($P83, $D$31:$D$35,$E$31:$E$35),Q59,$F71)</f>
        <v>1144.72464583487</v>
      </c>
      <c r="R83" s="15" cm="1">
        <f t="array" aca="1" ref="R83" ca="1">MMS_Dairy_ManureAppliedToSoils_Equations.VEERG_4_3_1_8__1_MassOfNitrogenAppliedToSoilsScope1(R47,_xlfn.XLOOKUP($P83,$D$22:$D$26,$E$22:$E$26),_xlfn.XLOOKUP($P83, $D$31:$D$35,$E$31:$E$35),R59,$F71)</f>
        <v>522.85947970629945</v>
      </c>
      <c r="S83" s="15" cm="1">
        <f t="array" aca="1" ref="S83" ca="1">MMS_Dairy_ManureAppliedToSoils_Equations.VEERG_4_3_1_8__1_MassOfNitrogenAppliedToSoilsScope1(S47,_xlfn.XLOOKUP($P83,$D$22:$D$26,$E$22:$E$26),_xlfn.XLOOKUP($P83, $D$31:$D$35,$E$31:$E$35),S59,$F71)</f>
        <v>208.24940130463128</v>
      </c>
      <c r="T83" s="15" cm="1">
        <f t="array" aca="1" ref="T83" ca="1">MMS_Dairy_ManureAppliedToSoils_Equations.VEERG_4_3_1_8__1_MassOfNitrogenAppliedToSoilsScope1(T47,_xlfn.XLOOKUP($P83,$D$22:$D$26,$E$22:$E$26),_xlfn.XLOOKUP($P83, $D$31:$D$35,$E$31:$E$35),T59,$F71)</f>
        <v>657.25504456369208</v>
      </c>
      <c r="U83" s="15" cm="1">
        <f t="array" aca="1" ref="U83" ca="1">MMS_Dairy_ManureAppliedToSoils_Equations.VEERG_4_3_1_8__1_MassOfNitrogenAppliedToSoilsScope1(U47,_xlfn.XLOOKUP($P83,$D$22:$D$26,$E$22:$E$26),_xlfn.XLOOKUP($P83, $D$31:$D$35,$E$31:$E$35),U59,$F71)</f>
        <v>275.14623049888485</v>
      </c>
      <c r="V83" s="16"/>
    </row>
    <row r="84" spans="3:23" ht="20.100000000000001" customHeight="1" x14ac:dyDescent="0.25"/>
    <row r="85" spans="3:23" ht="20.100000000000001" customHeight="1" x14ac:dyDescent="0.25">
      <c r="D85" s="88" t="s">
        <v>530</v>
      </c>
      <c r="E85" s="91">
        <f ca="1">SUM(F76:J83)</f>
        <v>11592.578908618651</v>
      </c>
      <c r="F85" s="90" t="str">
        <f>$E$11</f>
        <v>kg N</v>
      </c>
      <c r="O85" s="88" t="s">
        <v>530</v>
      </c>
      <c r="P85" s="91">
        <f ca="1">SUM(Q76:U83)</f>
        <v>11592.578908618651</v>
      </c>
      <c r="Q85" s="90" t="str">
        <f>$E$11</f>
        <v>kg N</v>
      </c>
    </row>
    <row r="86" spans="3:23" ht="20.100000000000001" customHeight="1" x14ac:dyDescent="0.25"/>
    <row r="87" spans="3:23" ht="20.100000000000001" customHeight="1" x14ac:dyDescent="0.25"/>
    <row r="88" spans="3:23" ht="20.100000000000001" customHeight="1" x14ac:dyDescent="0.25">
      <c r="C88" s="89"/>
      <c r="D88" s="89"/>
      <c r="E88" s="89"/>
      <c r="F88" s="89"/>
      <c r="G88" s="89"/>
      <c r="H88" s="89"/>
      <c r="I88" s="89"/>
      <c r="J88" s="89"/>
      <c r="K88" s="89"/>
      <c r="L88" s="89"/>
      <c r="N88" s="89"/>
      <c r="O88" s="89"/>
      <c r="P88" s="89"/>
      <c r="Q88" s="89"/>
      <c r="R88" s="89"/>
      <c r="S88" s="89"/>
      <c r="T88" s="89"/>
      <c r="U88" s="89"/>
      <c r="V88" s="89"/>
      <c r="W88" s="89"/>
    </row>
    <row r="89" spans="3:23" ht="20.100000000000001" customHeight="1" x14ac:dyDescent="0.25">
      <c r="D89" s="2" t="str" cm="1">
        <f t="array" ref="D89">MMS_Dairy_ManureAppliedToSoils_Equations.VEERG_4_3_1_8__2_MassOfNitrogenAppliedToSoilsScope3_Title()</f>
        <v>Mass of nitrogen from manure applied to soils for scope 3 emissions</v>
      </c>
    </row>
    <row r="90" spans="3:23" ht="20.100000000000001" customHeight="1" x14ac:dyDescent="0.25">
      <c r="D90" s="17" t="str" cm="1">
        <f t="array" ref="D90">MMS_Dairy_ManureAppliedToSoils_Equations.VEERG_4_3_1_8__2_MassOfNitrogenAppliedToSoilsScope3_Source()</f>
        <v>VEERG 2026: 4.3.1.8, Equation (2)</v>
      </c>
    </row>
    <row r="91" spans="3:23" ht="20.100000000000001" customHeight="1" x14ac:dyDescent="0.25">
      <c r="D91" s="117" t="s">
        <v>343</v>
      </c>
      <c r="E91" s="117"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76" t="s">
        <v>344</v>
      </c>
      <c r="E94" s="1" t="str" cm="1">
        <f t="array" ref="E94">MMS_Dairy_ManureAppliedToSoils_Equations.VEERG_4_3_1_8__2_MassOfNitrogenAppliedToSoilsScope3_Variable()</f>
        <v>MNSoil_scope3</v>
      </c>
    </row>
    <row r="95" spans="3:23" ht="20.100000000000001" customHeight="1" x14ac:dyDescent="0.25">
      <c r="D95" s="76" t="s">
        <v>118</v>
      </c>
      <c r="E95" s="9"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19" t="str" cm="1">
        <f t="array" ref="D97:E101">_xlfn.CHOOSECOLS(MMS_Dairy_ManureAppliedToSoils_Equations.VEERG_4_3_1_8__2_MassOfNitrogenAppliedToSoilsScope3_Arguments(),1,2)</f>
        <v>MN_jm</v>
      </c>
      <c r="E97" s="124" t="str">
        <v>total nitrogen in each MMS for dairy cattle classes</v>
      </c>
      <c r="F97" s="125"/>
      <c r="G97" s="119" t="str" cm="1">
        <f t="array" ref="G97:H101">_xlfn.CHOOSECOLS(MMS_Dairy_ManureAppliedToSoils_Equations.VEERG_4_3_1_8__2_MassOfNitrogenAppliedToSoilsScope3_Arguments(),3,4)</f>
        <v>kg N</v>
      </c>
      <c r="H97" s="127" t="str">
        <v>Calculated from 4.3.1.3 (2)</v>
      </c>
      <c r="I97" s="126" t="str" cm="1">
        <f t="array" aca="1" ref="I97" ca="1">HYPERLINK(Common_InputFunctions.Utility_SourceHyperlink($D$37),$D$37)</f>
        <v>M1_Table_MN_j_m</v>
      </c>
    </row>
    <row r="98" spans="4:22" ht="20.100000000000001" customHeight="1" x14ac:dyDescent="0.25">
      <c r="D98" s="119" t="str">
        <v>EF_m</v>
      </c>
      <c r="E98" s="124" t="str">
        <v>emission factor for nitrous oxide emissions per MMS</v>
      </c>
      <c r="F98" s="125"/>
      <c r="G98" s="119" t="str">
        <v>kg N2O-N/kg N</v>
      </c>
      <c r="H98" s="127" t="str">
        <v>Constant</v>
      </c>
      <c r="I98" s="126" t="str" cm="1">
        <f t="array" aca="1" ref="I98" ca="1">HYPERLINK(Common_InputFunctions.Utility_SourceHyperlink($D$19),$D$19)</f>
        <v>Table_EF_m</v>
      </c>
    </row>
    <row r="99" spans="4:22" ht="20.100000000000001" customHeight="1" x14ac:dyDescent="0.25">
      <c r="D99" s="119" t="str">
        <v>FracGASM_m</v>
      </c>
      <c r="E99" s="124" t="str">
        <v>fraction of N volatilised from MMS</v>
      </c>
      <c r="F99" s="125"/>
      <c r="G99" s="119" t="str">
        <v>fraction</v>
      </c>
      <c r="H99" s="127" t="str">
        <v>Constant</v>
      </c>
      <c r="I99" s="126" t="str" cm="1">
        <f t="array" aca="1" ref="I99" ca="1">HYPERLINK(Common_InputFunctions.Utility_SourceHyperlink($D$28),$D$28)</f>
        <v>Table_FracGASM_m</v>
      </c>
    </row>
    <row r="100" spans="4:22" ht="20.100000000000001" customHeight="1" x14ac:dyDescent="0.25">
      <c r="D100" s="119" t="str">
        <v>MNLeach_jm</v>
      </c>
      <c r="E100" s="124" t="str">
        <v>mass of N lost through leaching and runoff from each MMS</v>
      </c>
      <c r="F100" s="125"/>
      <c r="G100" s="119" t="str">
        <v>kg N</v>
      </c>
      <c r="H100" s="127" t="str">
        <v>Calculated from 4.3.1.6 (2)</v>
      </c>
      <c r="I100" s="126" t="str" cm="1">
        <f t="array" aca="1" ref="I100" ca="1">HYPERLINK(Common_InputFunctions.Utility_SourceHyperlink($D$49),$D$49)</f>
        <v>M1_Table_MN_leach_j_m</v>
      </c>
    </row>
    <row r="101" spans="4:22" ht="20.100000000000001" customHeight="1" x14ac:dyDescent="0.25">
      <c r="D101" s="119" t="str">
        <v>PF</v>
      </c>
      <c r="E101" s="124" t="str">
        <v>fraction of manure applied to soil within farm boundary</v>
      </c>
      <c r="F101" s="125"/>
      <c r="G101" s="119" t="str">
        <v>fraction</v>
      </c>
      <c r="H101" s="120" t="str">
        <v>Input</v>
      </c>
      <c r="I101" s="126" t="str" cm="1">
        <f t="array" aca="1" ref="I101" ca="1">HYPERLINK(Common_InputFunctions.Utility_SourceHyperlink($D$61),$D$61)</f>
        <v>Table_PF_scope</v>
      </c>
    </row>
    <row r="102" spans="4:22" ht="20.100000000000001" customHeight="1" x14ac:dyDescent="0.25"/>
    <row r="103" spans="4:22" ht="20.100000000000001" customHeight="1" x14ac:dyDescent="0.25">
      <c r="D103" s="121" t="s">
        <v>531</v>
      </c>
      <c r="O103" s="121" t="s">
        <v>532</v>
      </c>
    </row>
    <row r="104" spans="4:22" ht="20.100000000000001" customHeight="1" x14ac:dyDescent="0.25">
      <c r="D104" s="122" t="s">
        <v>533</v>
      </c>
      <c r="O104" s="122" t="s">
        <v>534</v>
      </c>
    </row>
    <row r="105" spans="4:22" ht="20.100000000000001" customHeight="1" x14ac:dyDescent="0.25">
      <c r="D105" s="123" t="s">
        <v>161</v>
      </c>
      <c r="E105" s="123" t="s">
        <v>388</v>
      </c>
      <c r="F105" s="123" t="s">
        <v>295</v>
      </c>
      <c r="G105" s="123" t="s">
        <v>296</v>
      </c>
      <c r="H105" s="123" t="s">
        <v>297</v>
      </c>
      <c r="I105" s="123" t="s">
        <v>298</v>
      </c>
      <c r="J105" s="123" t="s">
        <v>299</v>
      </c>
      <c r="O105" s="123" t="s">
        <v>161</v>
      </c>
      <c r="P105" s="123" t="s">
        <v>388</v>
      </c>
      <c r="Q105" s="123" t="s">
        <v>295</v>
      </c>
      <c r="R105" s="123" t="s">
        <v>296</v>
      </c>
      <c r="S105" s="123" t="s">
        <v>297</v>
      </c>
      <c r="T105" s="123" t="s">
        <v>298</v>
      </c>
      <c r="U105" s="123" t="s">
        <v>299</v>
      </c>
    </row>
    <row r="106" spans="4:22" ht="20.100000000000001" customHeight="1" x14ac:dyDescent="0.25">
      <c r="D106" s="15" t="str">
        <f>INDEX(X_Table_Dairy_ProductionSystems_Method1,3,1)</f>
        <v>Milking shed</v>
      </c>
      <c r="E106" s="15" t="str">
        <f>INDEX(X_Table_Dairy_Stage1MMS_1_AnaerobicLagoon,2,1)</f>
        <v>Anaerobic lagoon</v>
      </c>
      <c r="F106" s="15" cm="1">
        <f t="array" aca="1" ref="F106" ca="1">MMS_Dairy_ManureAppliedToSoils_Equations.VEERG_4_3_1_8__2_MassOfNitrogenAppliedToSoilsScope3(F40, _xlfn.XLOOKUP($E106, $D$22:$D$26,$E$22:$E$26), _xlfn.XLOOKUP($E106,$D$31:$D$35,$E$31:$E$35),F52, $F64)</f>
        <v>64.877484237713347</v>
      </c>
      <c r="G106" s="15" cm="1">
        <f t="array" aca="1" ref="G106" ca="1">MMS_Dairy_ManureAppliedToSoils_Equations.VEERG_4_3_1_8__2_MassOfNitrogenAppliedToSoilsScope3(G40, _xlfn.XLOOKUP($E106, $D$22:$D$26,$E$22:$E$26), _xlfn.XLOOKUP($E106,$D$31:$D$35,$E$31:$E$35),G52, $F64)</f>
        <v>29.633159185145878</v>
      </c>
      <c r="H106" s="15" cm="1">
        <f t="array" aca="1" ref="H106" ca="1">MMS_Dairy_ManureAppliedToSoils_Equations.VEERG_4_3_1_8__2_MassOfNitrogenAppliedToSoilsScope3(H40, _xlfn.XLOOKUP($E106, $D$22:$D$26,$E$22:$E$26), _xlfn.XLOOKUP($E106,$D$31:$D$35,$E$31:$E$35),H52, $F64)</f>
        <v>11.802573920124557</v>
      </c>
      <c r="I106" s="15" cm="1">
        <f t="array" aca="1" ref="I106" ca="1">MMS_Dairy_ManureAppliedToSoils_Equations.VEERG_4_3_1_8__2_MassOfNitrogenAppliedToSoilsScope3(I40, _xlfn.XLOOKUP($E106, $D$22:$D$26,$E$22:$E$26), _xlfn.XLOOKUP($E106,$D$31:$D$35,$E$31:$E$35),I52, $F64)</f>
        <v>37.250053057728621</v>
      </c>
      <c r="J106" s="15" cm="1">
        <f t="array" aca="1" ref="J106" ca="1">MMS_Dairy_ManureAppliedToSoils_Equations.VEERG_4_3_1_8__2_MassOfNitrogenAppliedToSoilsScope3(J40, _xlfn.XLOOKUP($E106, $D$22:$D$26,$E$22:$E$26), _xlfn.XLOOKUP($E106,$D$31:$D$35,$E$31:$E$35),J52, $F64)</f>
        <v>15.593964275346504</v>
      </c>
      <c r="K106" s="16" t="str">
        <f t="shared" ref="K106" si="2">$E$95</f>
        <v>kg N</v>
      </c>
      <c r="O106" s="15" t="str">
        <f>INDEX(X_Table_Dairy_ProductionSystems_Method1,3,1)</f>
        <v>Milking shed</v>
      </c>
      <c r="P106" s="15" t="str">
        <f>INDEX(X_Table_Dairy_Stage1MMS_1_AnaerobicLagoon,2,1)</f>
        <v>Anaerobic lagoon</v>
      </c>
      <c r="Q106" s="15" cm="1">
        <f t="array" aca="1" ref="Q106" ca="1">MMS_Dairy_ManureAppliedToSoils_Equations.VEERG_4_3_1_8__2_MassOfNitrogenAppliedToSoilsScope3(Q40, _xlfn.XLOOKUP($P106, $D$22:$D$26,$E$22:$E$26), _xlfn.XLOOKUP($P106,$D$31:$D$35,$E$31:$E$35),Q52, $F64)</f>
        <v>64.877484237713347</v>
      </c>
      <c r="R106" s="15" cm="1">
        <f t="array" aca="1" ref="R106" ca="1">MMS_Dairy_ManureAppliedToSoils_Equations.VEERG_4_3_1_8__2_MassOfNitrogenAppliedToSoilsScope3(R40, _xlfn.XLOOKUP($P106, $D$22:$D$26,$E$22:$E$26), _xlfn.XLOOKUP($P106,$D$31:$D$35,$E$31:$E$35),R52, $F64)</f>
        <v>29.633159185145878</v>
      </c>
      <c r="S106" s="15" cm="1">
        <f t="array" aca="1" ref="S106" ca="1">MMS_Dairy_ManureAppliedToSoils_Equations.VEERG_4_3_1_8__2_MassOfNitrogenAppliedToSoilsScope3(S40, _xlfn.XLOOKUP($P106, $D$22:$D$26,$E$22:$E$26), _xlfn.XLOOKUP($P106,$D$31:$D$35,$E$31:$E$35),S52, $F64)</f>
        <v>11.802573920124557</v>
      </c>
      <c r="T106" s="15" cm="1">
        <f t="array" aca="1" ref="T106" ca="1">MMS_Dairy_ManureAppliedToSoils_Equations.VEERG_4_3_1_8__2_MassOfNitrogenAppliedToSoilsScope3(T40, _xlfn.XLOOKUP($P106, $D$22:$D$26,$E$22:$E$26), _xlfn.XLOOKUP($P106,$D$31:$D$35,$E$31:$E$35),T52, $F64)</f>
        <v>37.250053057728621</v>
      </c>
      <c r="U106" s="15" cm="1">
        <f t="array" aca="1" ref="U106" ca="1">MMS_Dairy_ManureAppliedToSoils_Equations.VEERG_4_3_1_8__2_MassOfNitrogenAppliedToSoilsScope3(U40, _xlfn.XLOOKUP($P106, $D$22:$D$26,$E$22:$E$26), _xlfn.XLOOKUP($P106,$D$31:$D$35,$E$31:$E$35),U52, $F64)</f>
        <v>15.593964275346504</v>
      </c>
      <c r="V106" s="16" t="str">
        <f t="shared" ref="V106" si="3">$E$95</f>
        <v>kg N</v>
      </c>
    </row>
    <row r="107" spans="4:22" ht="20.100000000000001" customHeight="1" x14ac:dyDescent="0.25">
      <c r="D107" s="15" t="str">
        <f>INDEX(X_Table_Dairy_ProductionSystems_Method1,3,1)</f>
        <v>Milking shed</v>
      </c>
      <c r="E107" s="15" t="str">
        <f>INDEX(X_Table_Dairy_Stage1MMS_1_SumpAndDispersal,2,1)</f>
        <v>Sump and dispersal system</v>
      </c>
      <c r="F107" s="15" cm="1">
        <f t="array" aca="1" ref="F107" ca="1">MMS_Dairy_ManureAppliedToSoils_Equations.VEERG_4_3_1_8__2_MassOfNitrogenAppliedToSoilsScope3(F41, _xlfn.XLOOKUP($E107, $D$22:$D$26,$E$22:$E$26), _xlfn.XLOOKUP($E107,$D$31:$D$35,$E$31:$E$35),F53, $F65)</f>
        <v>92.824708217036019</v>
      </c>
      <c r="G107" s="15" cm="1">
        <f t="array" aca="1" ref="G107" ca="1">MMS_Dairy_ManureAppliedToSoils_Equations.VEERG_4_3_1_8__2_MassOfNitrogenAppliedToSoilsScope3(G41, _xlfn.XLOOKUP($E107, $D$22:$D$26,$E$22:$E$26), _xlfn.XLOOKUP($E107,$D$31:$D$35,$E$31:$E$35),G53, $F65)</f>
        <v>42.398212372593328</v>
      </c>
      <c r="H107" s="15" cm="1">
        <f t="array" aca="1" ref="H107" ca="1">MMS_Dairy_ManureAppliedToSoils_Equations.VEERG_4_3_1_8__2_MassOfNitrogenAppliedToSoilsScope3(H41, _xlfn.XLOOKUP($E107, $D$22:$D$26,$E$22:$E$26), _xlfn.XLOOKUP($E107,$D$31:$D$35,$E$31:$E$35),H53, $F65)</f>
        <v>16.886759608793596</v>
      </c>
      <c r="I107" s="15" cm="1">
        <f t="array" aca="1" ref="I107" ca="1">MMS_Dairy_ManureAppliedToSoils_Equations.VEERG_4_3_1_8__2_MassOfNitrogenAppliedToSoilsScope3(I41, _xlfn.XLOOKUP($E107, $D$22:$D$26,$E$22:$E$26), _xlfn.XLOOKUP($E107,$D$31:$D$35,$E$31:$E$35),I53, $F65)</f>
        <v>53.296229759519406</v>
      </c>
      <c r="J107" s="15" cm="1">
        <f t="array" aca="1" ref="J107" ca="1">MMS_Dairy_ManureAppliedToSoils_Equations.VEERG_4_3_1_8__2_MassOfNitrogenAppliedToSoilsScope3(J41, _xlfn.XLOOKUP($E107, $D$22:$D$26,$E$22:$E$26), _xlfn.XLOOKUP($E107,$D$31:$D$35,$E$31:$E$35),J53, $F65)</f>
        <v>22.311364270880382</v>
      </c>
      <c r="K107" s="16"/>
      <c r="O107" s="15" t="str">
        <f>INDEX(X_Table_Dairy_ProductionSystems_Method1,3,1)</f>
        <v>Milking shed</v>
      </c>
      <c r="P107" s="15" t="str">
        <f>INDEX(X_Table_Dairy_Stage1MMS_1_SumpAndDispersal,2,1)</f>
        <v>Sump and dispersal system</v>
      </c>
      <c r="Q107" s="15" cm="1">
        <f t="array" aca="1" ref="Q107" ca="1">MMS_Dairy_ManureAppliedToSoils_Equations.VEERG_4_3_1_8__2_MassOfNitrogenAppliedToSoilsScope3(Q41, _xlfn.XLOOKUP($P107, $D$22:$D$26,$E$22:$E$26), _xlfn.XLOOKUP($P107,$D$31:$D$35,$E$31:$E$35),Q53, $F65)</f>
        <v>92.824708217036019</v>
      </c>
      <c r="R107" s="15" cm="1">
        <f t="array" aca="1" ref="R107" ca="1">MMS_Dairy_ManureAppliedToSoils_Equations.VEERG_4_3_1_8__2_MassOfNitrogenAppliedToSoilsScope3(R41, _xlfn.XLOOKUP($P107, $D$22:$D$26,$E$22:$E$26), _xlfn.XLOOKUP($P107,$D$31:$D$35,$E$31:$E$35),R53, $F65)</f>
        <v>42.398212372593328</v>
      </c>
      <c r="S107" s="15" cm="1">
        <f t="array" aca="1" ref="S107" ca="1">MMS_Dairy_ManureAppliedToSoils_Equations.VEERG_4_3_1_8__2_MassOfNitrogenAppliedToSoilsScope3(S41, _xlfn.XLOOKUP($P107, $D$22:$D$26,$E$22:$E$26), _xlfn.XLOOKUP($P107,$D$31:$D$35,$E$31:$E$35),S53, $F65)</f>
        <v>16.886759608793596</v>
      </c>
      <c r="T107" s="15" cm="1">
        <f t="array" aca="1" ref="T107" ca="1">MMS_Dairy_ManureAppliedToSoils_Equations.VEERG_4_3_1_8__2_MassOfNitrogenAppliedToSoilsScope3(T41, _xlfn.XLOOKUP($P107, $D$22:$D$26,$E$22:$E$26), _xlfn.XLOOKUP($P107,$D$31:$D$35,$E$31:$E$35),T53, $F65)</f>
        <v>53.296229759519406</v>
      </c>
      <c r="U107" s="15" cm="1">
        <f t="array" aca="1" ref="U107" ca="1">MMS_Dairy_ManureAppliedToSoils_Equations.VEERG_4_3_1_8__2_MassOfNitrogenAppliedToSoilsScope3(U41, _xlfn.XLOOKUP($P107, $D$22:$D$26,$E$22:$E$26), _xlfn.XLOOKUP($P107,$D$31:$D$35,$E$31:$E$35),U53, $F65)</f>
        <v>22.311364270880382</v>
      </c>
      <c r="V107" s="16"/>
    </row>
    <row r="108" spans="4:22" ht="20.100000000000001" customHeight="1" x14ac:dyDescent="0.25">
      <c r="D108" s="15" t="str">
        <f>INDEX(X_Table_Dairy_ProductionSystems_Method1,3,1)</f>
        <v>Milking shed</v>
      </c>
      <c r="E108" s="15" t="str">
        <f>INDEX(X_Table_Dairy_Stage1MMS_1_DrainsToPaddock,2,1)</f>
        <v>Drains to paddock</v>
      </c>
      <c r="F108" s="15" cm="1">
        <f t="array" aca="1" ref="F108" ca="1">MMS_Dairy_ManureAppliedToSoils_Equations.VEERG_4_3_1_8__2_MassOfNitrogenAppliedToSoilsScope3(F42, _xlfn.XLOOKUP($E108, $D$22:$D$26,$E$22:$E$26), _xlfn.XLOOKUP($E108,$D$31:$D$35,$E$31:$E$35),F54, $F66)</f>
        <v>79.849211369493361</v>
      </c>
      <c r="G108" s="15" cm="1">
        <f t="array" aca="1" ref="G108" ca="1">MMS_Dairy_ManureAppliedToSoils_Equations.VEERG_4_3_1_8__2_MassOfNitrogenAppliedToSoilsScope3(G42, _xlfn.XLOOKUP($E108, $D$22:$D$26,$E$22:$E$26), _xlfn.XLOOKUP($E108,$D$31:$D$35,$E$31:$E$35),G54, $F66)</f>
        <v>36.471580535564158</v>
      </c>
      <c r="H108" s="15" cm="1">
        <f t="array" aca="1" ref="H108" ca="1">MMS_Dairy_ManureAppliedToSoils_Equations.VEERG_4_3_1_8__2_MassOfNitrogenAppliedToSoilsScope3(H42, _xlfn.XLOOKUP($E108, $D$22:$D$26,$E$22:$E$26), _xlfn.XLOOKUP($E108,$D$31:$D$35,$E$31:$E$35),H54, $F66)</f>
        <v>14.526244824768686</v>
      </c>
      <c r="I108" s="15" cm="1">
        <f t="array" aca="1" ref="I108" ca="1">MMS_Dairy_ManureAppliedToSoils_Equations.VEERG_4_3_1_8__2_MassOfNitrogenAppliedToSoilsScope3(I42, _xlfn.XLOOKUP($E108, $D$22:$D$26,$E$22:$E$26), _xlfn.XLOOKUP($E108,$D$31:$D$35,$E$31:$E$35),I54, $F66)</f>
        <v>45.846219147973692</v>
      </c>
      <c r="J108" s="15" cm="1">
        <f t="array" aca="1" ref="J108" ca="1">MMS_Dairy_ManureAppliedToSoils_Equations.VEERG_4_3_1_8__2_MassOfNitrogenAppliedToSoilsScope3(J42, _xlfn.XLOOKUP($E108, $D$22:$D$26,$E$22:$E$26), _xlfn.XLOOKUP($E108,$D$31:$D$35,$E$31:$E$35),J54, $F66)</f>
        <v>19.192571415811084</v>
      </c>
      <c r="K108" s="16"/>
      <c r="O108" s="15" t="str">
        <f>INDEX(X_Table_Dairy_ProductionSystems_Method1,3,1)</f>
        <v>Milking shed</v>
      </c>
      <c r="P108" s="15" t="str">
        <f>INDEX(X_Table_Dairy_Stage1MMS_1_DrainsToPaddock,2,1)</f>
        <v>Drains to paddock</v>
      </c>
      <c r="Q108" s="15" cm="1">
        <f t="array" aca="1" ref="Q108" ca="1">MMS_Dairy_ManureAppliedToSoils_Equations.VEERG_4_3_1_8__2_MassOfNitrogenAppliedToSoilsScope3(Q42, _xlfn.XLOOKUP($P108, $D$22:$D$26,$E$22:$E$26), _xlfn.XLOOKUP($P108,$D$31:$D$35,$E$31:$E$35),Q54, $F66)</f>
        <v>79.849211369493361</v>
      </c>
      <c r="R108" s="15" cm="1">
        <f t="array" aca="1" ref="R108" ca="1">MMS_Dairy_ManureAppliedToSoils_Equations.VEERG_4_3_1_8__2_MassOfNitrogenAppliedToSoilsScope3(R42, _xlfn.XLOOKUP($P108, $D$22:$D$26,$E$22:$E$26), _xlfn.XLOOKUP($P108,$D$31:$D$35,$E$31:$E$35),R54, $F66)</f>
        <v>36.471580535564158</v>
      </c>
      <c r="S108" s="15" cm="1">
        <f t="array" aca="1" ref="S108" ca="1">MMS_Dairy_ManureAppliedToSoils_Equations.VEERG_4_3_1_8__2_MassOfNitrogenAppliedToSoilsScope3(S42, _xlfn.XLOOKUP($P108, $D$22:$D$26,$E$22:$E$26), _xlfn.XLOOKUP($P108,$D$31:$D$35,$E$31:$E$35),S54, $F66)</f>
        <v>14.526244824768686</v>
      </c>
      <c r="T108" s="15" cm="1">
        <f t="array" aca="1" ref="T108" ca="1">MMS_Dairy_ManureAppliedToSoils_Equations.VEERG_4_3_1_8__2_MassOfNitrogenAppliedToSoilsScope3(T42, _xlfn.XLOOKUP($P108, $D$22:$D$26,$E$22:$E$26), _xlfn.XLOOKUP($P108,$D$31:$D$35,$E$31:$E$35),T54, $F66)</f>
        <v>45.846219147973692</v>
      </c>
      <c r="U108" s="15" cm="1">
        <f t="array" aca="1" ref="U108" ca="1">MMS_Dairy_ManureAppliedToSoils_Equations.VEERG_4_3_1_8__2_MassOfNitrogenAppliedToSoilsScope3(U42, _xlfn.XLOOKUP($P108, $D$22:$D$26,$E$22:$E$26), _xlfn.XLOOKUP($P108,$D$31:$D$35,$E$31:$E$35),U54, $F66)</f>
        <v>19.192571415811084</v>
      </c>
      <c r="V108" s="16"/>
    </row>
    <row r="109" spans="4:22" ht="20.100000000000001" customHeight="1" x14ac:dyDescent="0.25">
      <c r="D109" s="15" t="str">
        <f>INDEX(X_Table_Dairy_ProductionSystems_Method1,3,1)</f>
        <v>Milking shed</v>
      </c>
      <c r="E109" s="15" t="s">
        <v>75</v>
      </c>
      <c r="F109" s="15" cm="1">
        <f t="array" aca="1" ref="F109" ca="1">MMS_Dairy_ManureAppliedToSoils_Equations.VEERG_4_3_1_8__2_MassOfNitrogenAppliedToSoilsScope3(F43, _xlfn.XLOOKUP($E109, $D$22:$D$26,$E$22:$E$26), _xlfn.XLOOKUP($E109,$D$31:$D$35,$E$31:$E$35),F55, $F67)</f>
        <v>134.74554418602003</v>
      </c>
      <c r="G109" s="15" cm="1">
        <f t="array" aca="1" ref="G109" ca="1">MMS_Dairy_ManureAppliedToSoils_Equations.VEERG_4_3_1_8__2_MassOfNitrogenAppliedToSoilsScope3(G43, _xlfn.XLOOKUP($E109, $D$22:$D$26,$E$22:$E$26), _xlfn.XLOOKUP($E109,$D$31:$D$35,$E$31:$E$35),G55, $F67)</f>
        <v>61.545792153764516</v>
      </c>
      <c r="H109" s="15" cm="1">
        <f t="array" aca="1" ref="H109" ca="1">MMS_Dairy_ManureAppliedToSoils_Equations.VEERG_4_3_1_8__2_MassOfNitrogenAppliedToSoilsScope3(H43, _xlfn.XLOOKUP($E109, $D$22:$D$26,$E$22:$E$26), _xlfn.XLOOKUP($E109,$D$31:$D$35,$E$31:$E$35),H55, $F67)</f>
        <v>24.51303814179715</v>
      </c>
      <c r="I109" s="15" cm="1">
        <f t="array" aca="1" ref="I109" ca="1">MMS_Dairy_ManureAppliedToSoils_Equations.VEERG_4_3_1_8__2_MassOfNitrogenAppliedToSoilsScope3(I43, _xlfn.XLOOKUP($E109, $D$22:$D$26,$E$22:$E$26), _xlfn.XLOOKUP($E109,$D$31:$D$35,$E$31:$E$35),I55, $F67)</f>
        <v>77.365494812205597</v>
      </c>
      <c r="J109" s="15" cm="1">
        <f t="array" aca="1" ref="J109" ca="1">MMS_Dairy_ManureAppliedToSoils_Equations.VEERG_4_3_1_8__2_MassOfNitrogenAppliedToSoilsScope3(J43, _xlfn.XLOOKUP($E109, $D$22:$D$26,$E$22:$E$26), _xlfn.XLOOKUP($E109,$D$31:$D$35,$E$31:$E$35),J55, $F67)</f>
        <v>32.387464264181197</v>
      </c>
      <c r="K109" s="16"/>
      <c r="O109" s="15" t="str">
        <f>INDEX(X_Table_Dairy_ProductionSystems_Method1,3,1)</f>
        <v>Milking shed</v>
      </c>
      <c r="P109" s="15" t="s">
        <v>75</v>
      </c>
      <c r="Q109" s="15" cm="1">
        <f t="array" aca="1" ref="Q109" ca="1">MMS_Dairy_ManureAppliedToSoils_Equations.VEERG_4_3_1_8__2_MassOfNitrogenAppliedToSoilsScope3(Q43, _xlfn.XLOOKUP($P109, $D$22:$D$26,$E$22:$E$26), _xlfn.XLOOKUP($P109,$D$31:$D$35,$E$31:$E$35),Q55, $F67)</f>
        <v>134.74554418602003</v>
      </c>
      <c r="R109" s="15" cm="1">
        <f t="array" aca="1" ref="R109" ca="1">MMS_Dairy_ManureAppliedToSoils_Equations.VEERG_4_3_1_8__2_MassOfNitrogenAppliedToSoilsScope3(R43, _xlfn.XLOOKUP($P109, $D$22:$D$26,$E$22:$E$26), _xlfn.XLOOKUP($P109,$D$31:$D$35,$E$31:$E$35),R55, $F67)</f>
        <v>61.545792153764516</v>
      </c>
      <c r="S109" s="15" cm="1">
        <f t="array" aca="1" ref="S109" ca="1">MMS_Dairy_ManureAppliedToSoils_Equations.VEERG_4_3_1_8__2_MassOfNitrogenAppliedToSoilsScope3(S43, _xlfn.XLOOKUP($P109, $D$22:$D$26,$E$22:$E$26), _xlfn.XLOOKUP($P109,$D$31:$D$35,$E$31:$E$35),S55, $F67)</f>
        <v>24.51303814179715</v>
      </c>
      <c r="T109" s="15" cm="1">
        <f t="array" aca="1" ref="T109" ca="1">MMS_Dairy_ManureAppliedToSoils_Equations.VEERG_4_3_1_8__2_MassOfNitrogenAppliedToSoilsScope3(T43, _xlfn.XLOOKUP($P109, $D$22:$D$26,$E$22:$E$26), _xlfn.XLOOKUP($P109,$D$31:$D$35,$E$31:$E$35),T55, $F67)</f>
        <v>77.365494812205597</v>
      </c>
      <c r="U109" s="15" cm="1">
        <f t="array" aca="1" ref="U109" ca="1">MMS_Dairy_ManureAppliedToSoils_Equations.VEERG_4_3_1_8__2_MassOfNitrogenAppliedToSoilsScope3(U43, _xlfn.XLOOKUP($P109, $D$22:$D$26,$E$22:$E$26), _xlfn.XLOOKUP($P109,$D$31:$D$35,$E$31:$E$35),U55, $F67)</f>
        <v>32.387464264181197</v>
      </c>
      <c r="V109" s="16"/>
    </row>
    <row r="110" spans="4:22" ht="20.100000000000001" customHeight="1" x14ac:dyDescent="0.25">
      <c r="D110" s="15" t="str">
        <f>INDEX(X_Table_Dairy_ProductionSystems_Method1,4,1)</f>
        <v>Feed pad</v>
      </c>
      <c r="E110" s="15" t="str">
        <f>INDEX(X_Table_Dairy_Stage1MMS_2_AnaerobicLagoon,2,1)</f>
        <v>Anaerobic lagoon</v>
      </c>
      <c r="F110" s="15" cm="1">
        <f t="array" aca="1" ref="F110" ca="1">MMS_Dairy_ManureAppliedToSoils_Equations.VEERG_4_3_1_8__2_MassOfNitrogenAppliedToSoilsScope3(F44, _xlfn.XLOOKUP($E110, $D$22:$D$26,$E$22:$E$26), _xlfn.XLOOKUP($E110,$D$31:$D$35,$E$31:$E$35),F56, $F68)</f>
        <v>262.45891350711304</v>
      </c>
      <c r="G110" s="15" cm="1">
        <f t="array" aca="1" ref="G110" ca="1">MMS_Dairy_ManureAppliedToSoils_Equations.VEERG_4_3_1_8__2_MassOfNitrogenAppliedToSoilsScope3(G44, _xlfn.XLOOKUP($E110, $D$22:$D$26,$E$22:$E$26), _xlfn.XLOOKUP($E110,$D$31:$D$35,$E$31:$E$35),G56, $F68)</f>
        <v>119.87959852172649</v>
      </c>
      <c r="H110" s="15" cm="1">
        <f t="array" aca="1" ref="H110" ca="1">MMS_Dairy_ManureAppliedToSoils_Equations.VEERG_4_3_1_8__2_MassOfNitrogenAppliedToSoilsScope3(H44, _xlfn.XLOOKUP($E110, $D$22:$D$26,$E$22:$E$26), _xlfn.XLOOKUP($E110,$D$31:$D$35,$E$31:$E$35),H56, $F68)</f>
        <v>47.746776313231159</v>
      </c>
      <c r="I110" s="15" cm="1">
        <f t="array" aca="1" ref="I110" ca="1">MMS_Dairy_ManureAppliedToSoils_Equations.VEERG_4_3_1_8__2_MassOfNitrogenAppliedToSoilsScope3(I44, _xlfn.XLOOKUP($E110, $D$22:$D$26,$E$22:$E$26), _xlfn.XLOOKUP($E110,$D$31:$D$35,$E$31:$E$35),I56, $F68)</f>
        <v>150.69339646081124</v>
      </c>
      <c r="J110" s="15" cm="1">
        <f t="array" aca="1" ref="J110" ca="1">MMS_Dairy_ManureAppliedToSoils_Equations.VEERG_4_3_1_8__2_MassOfNitrogenAppliedToSoilsScope3(J44, _xlfn.XLOOKUP($E110, $D$22:$D$26,$E$22:$E$26), _xlfn.XLOOKUP($E110,$D$31:$D$35,$E$31:$E$35),J56, $F68)</f>
        <v>63.084673659356305</v>
      </c>
      <c r="K110" s="16"/>
      <c r="O110" s="15" t="str">
        <f>INDEX(X_Table_Dairy_ProductionSystems_Method1,4,1)</f>
        <v>Feed pad</v>
      </c>
      <c r="P110" s="15" t="str">
        <f>INDEX(X_Table_Dairy_Stage1MMS_2_AnaerobicLagoon,2,1)</f>
        <v>Anaerobic lagoon</v>
      </c>
      <c r="Q110" s="15" cm="1">
        <f t="array" aca="1" ref="Q110" ca="1">MMS_Dairy_ManureAppliedToSoils_Equations.VEERG_4_3_1_8__2_MassOfNitrogenAppliedToSoilsScope3(Q44, _xlfn.XLOOKUP($P110, $D$22:$D$26,$E$22:$E$26), _xlfn.XLOOKUP($P110,$D$31:$D$35,$E$31:$E$35),Q56, $F68)</f>
        <v>262.45891350711304</v>
      </c>
      <c r="R110" s="15" cm="1">
        <f t="array" aca="1" ref="R110" ca="1">MMS_Dairy_ManureAppliedToSoils_Equations.VEERG_4_3_1_8__2_MassOfNitrogenAppliedToSoilsScope3(R44, _xlfn.XLOOKUP($P110, $D$22:$D$26,$E$22:$E$26), _xlfn.XLOOKUP($P110,$D$31:$D$35,$E$31:$E$35),R56, $F68)</f>
        <v>119.87959852172649</v>
      </c>
      <c r="S110" s="15" cm="1">
        <f t="array" aca="1" ref="S110" ca="1">MMS_Dairy_ManureAppliedToSoils_Equations.VEERG_4_3_1_8__2_MassOfNitrogenAppliedToSoilsScope3(S44, _xlfn.XLOOKUP($P110, $D$22:$D$26,$E$22:$E$26), _xlfn.XLOOKUP($P110,$D$31:$D$35,$E$31:$E$35),S56, $F68)</f>
        <v>47.746776313231159</v>
      </c>
      <c r="T110" s="15" cm="1">
        <f t="array" aca="1" ref="T110" ca="1">MMS_Dairy_ManureAppliedToSoils_Equations.VEERG_4_3_1_8__2_MassOfNitrogenAppliedToSoilsScope3(T44, _xlfn.XLOOKUP($P110, $D$22:$D$26,$E$22:$E$26), _xlfn.XLOOKUP($P110,$D$31:$D$35,$E$31:$E$35),T56, $F68)</f>
        <v>150.69339646081124</v>
      </c>
      <c r="U110" s="15" cm="1">
        <f t="array" aca="1" ref="U110" ca="1">MMS_Dairy_ManureAppliedToSoils_Equations.VEERG_4_3_1_8__2_MassOfNitrogenAppliedToSoilsScope3(U44, _xlfn.XLOOKUP($P110, $D$22:$D$26,$E$22:$E$26), _xlfn.XLOOKUP($P110,$D$31:$D$35,$E$31:$E$35),U56, $F68)</f>
        <v>63.084673659356305</v>
      </c>
      <c r="V110" s="16"/>
    </row>
    <row r="111" spans="4:22" ht="20.100000000000001" customHeight="1" x14ac:dyDescent="0.25">
      <c r="D111" s="15" t="str">
        <f>INDEX(X_Table_Dairy_ProductionSystems_Method1,4,1)</f>
        <v>Feed pad</v>
      </c>
      <c r="E111" s="15" t="str">
        <f>INDEX(X_Table_Dairy_Stage1MMS_2_SumpAndDispersal,2,1)</f>
        <v>Sump and dispersal system</v>
      </c>
      <c r="F111" s="15" cm="1">
        <f t="array" aca="1" ref="F111" ca="1">MMS_Dairy_ManureAppliedToSoils_Equations.VEERG_4_3_1_8__2_MassOfNitrogenAppliedToSoilsScope3(F45, _xlfn.XLOOKUP($E111, $D$22:$D$26,$E$22:$E$26), _xlfn.XLOOKUP($E111,$D$31:$D$35,$E$31:$E$35),F57, $F69)</f>
        <v>300.41451022968016</v>
      </c>
      <c r="G111" s="15" cm="1">
        <f t="array" aca="1" ref="G111" ca="1">MMS_Dairy_ManureAppliedToSoils_Equations.VEERG_4_3_1_8__2_MassOfNitrogenAppliedToSoilsScope3(G45, _xlfn.XLOOKUP($E111, $D$22:$D$26,$E$22:$E$26), _xlfn.XLOOKUP($E111,$D$31:$D$35,$E$31:$E$35),G57, $F69)</f>
        <v>137.21603276948386</v>
      </c>
      <c r="H111" s="15" cm="1">
        <f t="array" aca="1" ref="H111" ca="1">MMS_Dairy_ManureAppliedToSoils_Equations.VEERG_4_3_1_8__2_MassOfNitrogenAppliedToSoilsScope3(H45, _xlfn.XLOOKUP($E111, $D$22:$D$26,$E$22:$E$26), _xlfn.XLOOKUP($E111,$D$31:$D$35,$E$31:$E$35),H57, $F69)</f>
        <v>54.651694733913814</v>
      </c>
      <c r="I111" s="15" cm="1">
        <f t="array" aca="1" ref="I111" ca="1">MMS_Dairy_ManureAppliedToSoils_Equations.VEERG_4_3_1_8__2_MassOfNitrogenAppliedToSoilsScope3(I45, _xlfn.XLOOKUP($E111, $D$22:$D$26,$E$22:$E$26), _xlfn.XLOOKUP($E111,$D$31:$D$35,$E$31:$E$35),I57, $F69)</f>
        <v>172.48597994899006</v>
      </c>
      <c r="J111" s="15" cm="1">
        <f t="array" aca="1" ref="J111" ca="1">MMS_Dairy_ManureAppliedToSoils_Equations.VEERG_4_3_1_8__2_MassOfNitrogenAppliedToSoilsScope3(J45, _xlfn.XLOOKUP($E111, $D$22:$D$26,$E$22:$E$26), _xlfn.XLOOKUP($E111,$D$31:$D$35,$E$31:$E$35),J57, $F69)</f>
        <v>72.207688003940135</v>
      </c>
      <c r="K111" s="16"/>
      <c r="O111" s="15" t="str">
        <f>INDEX(X_Table_Dairy_ProductionSystems_Method1,4,1)</f>
        <v>Feed pad</v>
      </c>
      <c r="P111" s="15" t="str">
        <f>INDEX(X_Table_Dairy_Stage1MMS_2_SumpAndDispersal,2,1)</f>
        <v>Sump and dispersal system</v>
      </c>
      <c r="Q111" s="15" cm="1">
        <f t="array" aca="1" ref="Q111" ca="1">MMS_Dairy_ManureAppliedToSoils_Equations.VEERG_4_3_1_8__2_MassOfNitrogenAppliedToSoilsScope3(Q45, _xlfn.XLOOKUP($P111, $D$22:$D$26,$E$22:$E$26), _xlfn.XLOOKUP($P111,$D$31:$D$35,$E$31:$E$35),Q57, $F69)</f>
        <v>300.41451022968016</v>
      </c>
      <c r="R111" s="15" cm="1">
        <f t="array" aca="1" ref="R111" ca="1">MMS_Dairy_ManureAppliedToSoils_Equations.VEERG_4_3_1_8__2_MassOfNitrogenAppliedToSoilsScope3(R45, _xlfn.XLOOKUP($P111, $D$22:$D$26,$E$22:$E$26), _xlfn.XLOOKUP($P111,$D$31:$D$35,$E$31:$E$35),R57, $F69)</f>
        <v>137.21603276948386</v>
      </c>
      <c r="S111" s="15" cm="1">
        <f t="array" aca="1" ref="S111" ca="1">MMS_Dairy_ManureAppliedToSoils_Equations.VEERG_4_3_1_8__2_MassOfNitrogenAppliedToSoilsScope3(S45, _xlfn.XLOOKUP($P111, $D$22:$D$26,$E$22:$E$26), _xlfn.XLOOKUP($P111,$D$31:$D$35,$E$31:$E$35),S57, $F69)</f>
        <v>54.651694733913814</v>
      </c>
      <c r="T111" s="15" cm="1">
        <f t="array" aca="1" ref="T111" ca="1">MMS_Dairy_ManureAppliedToSoils_Equations.VEERG_4_3_1_8__2_MassOfNitrogenAppliedToSoilsScope3(T45, _xlfn.XLOOKUP($P111, $D$22:$D$26,$E$22:$E$26), _xlfn.XLOOKUP($P111,$D$31:$D$35,$E$31:$E$35),T57, $F69)</f>
        <v>172.48597994899006</v>
      </c>
      <c r="U111" s="15" cm="1">
        <f t="array" aca="1" ref="U111" ca="1">MMS_Dairy_ManureAppliedToSoils_Equations.VEERG_4_3_1_8__2_MassOfNitrogenAppliedToSoilsScope3(U45, _xlfn.XLOOKUP($P111, $D$22:$D$26,$E$22:$E$26), _xlfn.XLOOKUP($P111,$D$31:$D$35,$E$31:$E$35),U57, $F69)</f>
        <v>72.207688003940135</v>
      </c>
      <c r="V111" s="16"/>
    </row>
    <row r="112" spans="4:22" ht="20.100000000000001" customHeight="1" x14ac:dyDescent="0.25">
      <c r="D112" s="15" t="str">
        <f>INDEX(X_Table_Dairy_ProductionSystems_Method1,4,1)</f>
        <v>Feed pad</v>
      </c>
      <c r="E112" s="15" t="str">
        <f>INDEX(X_Table_Dairy_Stage1MMS_2_DrainsToPaddock,2,1)</f>
        <v>Drains to paddock</v>
      </c>
      <c r="F112" s="15" cm="1">
        <f t="array" aca="1" ref="F112" ca="1">MMS_Dairy_ManureAppliedToSoils_Equations.VEERG_4_3_1_8__2_MassOfNitrogenAppliedToSoilsScope3(F46, _xlfn.XLOOKUP($E112, $D$22:$D$26,$E$22:$E$26), _xlfn.XLOOKUP($E112,$D$31:$D$35,$E$31:$E$35),F58, $F70)</f>
        <v>258.42108406854209</v>
      </c>
      <c r="G112" s="15" cm="1">
        <f t="array" aca="1" ref="G112" ca="1">MMS_Dairy_ManureAppliedToSoils_Equations.VEERG_4_3_1_8__2_MassOfNitrogenAppliedToSoilsScope3(G46, _xlfn.XLOOKUP($E112, $D$22:$D$26,$E$22:$E$26), _xlfn.XLOOKUP($E112,$D$31:$D$35,$E$31:$E$35),G58, $F70)</f>
        <v>118.03529700600764</v>
      </c>
      <c r="H112" s="15" cm="1">
        <f t="array" aca="1" ref="H112" ca="1">MMS_Dairy_ManureAppliedToSoils_Equations.VEERG_4_3_1_8__2_MassOfNitrogenAppliedToSoilsScope3(H46, _xlfn.XLOOKUP($E112, $D$22:$D$26,$E$22:$E$26), _xlfn.XLOOKUP($E112,$D$31:$D$35,$E$31:$E$35),H58, $F70)</f>
        <v>47.012210523796831</v>
      </c>
      <c r="I112" s="15" cm="1">
        <f t="array" aca="1" ref="I112" ca="1">MMS_Dairy_ManureAppliedToSoils_Equations.VEERG_4_3_1_8__2_MassOfNitrogenAppliedToSoilsScope3(I46, _xlfn.XLOOKUP($E112, $D$22:$D$26,$E$22:$E$26), _xlfn.XLOOKUP($E112,$D$31:$D$35,$E$31:$E$35),I58, $F70)</f>
        <v>148.37503651526029</v>
      </c>
      <c r="J112" s="15" cm="1">
        <f t="array" aca="1" ref="J112" ca="1">MMS_Dairy_ManureAppliedToSoils_Equations.VEERG_4_3_1_8__2_MassOfNitrogenAppliedToSoilsScope3(J46, _xlfn.XLOOKUP($E112, $D$22:$D$26,$E$22:$E$26), _xlfn.XLOOKUP($E112,$D$31:$D$35,$E$31:$E$35),J58, $F70)</f>
        <v>62.114140218443133</v>
      </c>
      <c r="K112" s="16"/>
      <c r="O112" s="15" t="str">
        <f>INDEX(X_Table_Dairy_ProductionSystems_Method1,4,1)</f>
        <v>Feed pad</v>
      </c>
      <c r="P112" s="15" t="str">
        <f>INDEX(X_Table_Dairy_Stage1MMS_2_DrainsToPaddock,2,1)</f>
        <v>Drains to paddock</v>
      </c>
      <c r="Q112" s="15" cm="1">
        <f t="array" aca="1" ref="Q112" ca="1">MMS_Dairy_ManureAppliedToSoils_Equations.VEERG_4_3_1_8__2_MassOfNitrogenAppliedToSoilsScope3(Q46, _xlfn.XLOOKUP($P112, $D$22:$D$26,$E$22:$E$26), _xlfn.XLOOKUP($P112,$D$31:$D$35,$E$31:$E$35),Q58, $F70)</f>
        <v>258.42108406854209</v>
      </c>
      <c r="R112" s="15" cm="1">
        <f t="array" aca="1" ref="R112" ca="1">MMS_Dairy_ManureAppliedToSoils_Equations.VEERG_4_3_1_8__2_MassOfNitrogenAppliedToSoilsScope3(R46, _xlfn.XLOOKUP($P112, $D$22:$D$26,$E$22:$E$26), _xlfn.XLOOKUP($P112,$D$31:$D$35,$E$31:$E$35),R58, $F70)</f>
        <v>118.03529700600764</v>
      </c>
      <c r="S112" s="15" cm="1">
        <f t="array" aca="1" ref="S112" ca="1">MMS_Dairy_ManureAppliedToSoils_Equations.VEERG_4_3_1_8__2_MassOfNitrogenAppliedToSoilsScope3(S46, _xlfn.XLOOKUP($P112, $D$22:$D$26,$E$22:$E$26), _xlfn.XLOOKUP($P112,$D$31:$D$35,$E$31:$E$35),S58, $F70)</f>
        <v>47.012210523796831</v>
      </c>
      <c r="T112" s="15" cm="1">
        <f t="array" aca="1" ref="T112" ca="1">MMS_Dairy_ManureAppliedToSoils_Equations.VEERG_4_3_1_8__2_MassOfNitrogenAppliedToSoilsScope3(T46, _xlfn.XLOOKUP($P112, $D$22:$D$26,$E$22:$E$26), _xlfn.XLOOKUP($P112,$D$31:$D$35,$E$31:$E$35),T58, $F70)</f>
        <v>148.37503651526029</v>
      </c>
      <c r="U112" s="15" cm="1">
        <f t="array" aca="1" ref="U112" ca="1">MMS_Dairy_ManureAppliedToSoils_Equations.VEERG_4_3_1_8__2_MassOfNitrogenAppliedToSoilsScope3(U46, _xlfn.XLOOKUP($P112, $D$22:$D$26,$E$22:$E$26), _xlfn.XLOOKUP($P112,$D$31:$D$35,$E$31:$E$35),U58, $F70)</f>
        <v>62.114140218443133</v>
      </c>
      <c r="V112" s="16"/>
    </row>
    <row r="113" spans="3:23" ht="20.100000000000001" customHeight="1" x14ac:dyDescent="0.25">
      <c r="D113" s="15" t="str">
        <f>INDEX(X_Table_Dairy_ProductionSystems_Method1,4,1)</f>
        <v>Feed pad</v>
      </c>
      <c r="E113" s="15" t="s">
        <v>75</v>
      </c>
      <c r="F113" s="15" cm="1">
        <f t="array" aca="1" ref="F113" ca="1">MMS_Dairy_ManureAppliedToSoils_Equations.VEERG_4_3_1_8__2_MassOfNitrogenAppliedToSoilsScope3(F47, _xlfn.XLOOKUP($E113, $D$22:$D$26,$E$22:$E$26), _xlfn.XLOOKUP($E113,$D$31:$D$35,$E$31:$E$35),F59, $F71)</f>
        <v>381.57488194495664</v>
      </c>
      <c r="G113" s="15" cm="1">
        <f t="array" aca="1" ref="G113" ca="1">MMS_Dairy_ManureAppliedToSoils_Equations.VEERG_4_3_1_8__2_MassOfNitrogenAppliedToSoilsScope3(G47, _xlfn.XLOOKUP($E113, $D$22:$D$26,$E$22:$E$26), _xlfn.XLOOKUP($E113,$D$31:$D$35,$E$31:$E$35),G59, $F71)</f>
        <v>174.28649323543314</v>
      </c>
      <c r="H113" s="15" cm="1">
        <f t="array" aca="1" ref="H113" ca="1">MMS_Dairy_ManureAppliedToSoils_Equations.VEERG_4_3_1_8__2_MassOfNitrogenAppliedToSoilsScope3(H47, _xlfn.XLOOKUP($E113, $D$22:$D$26,$E$22:$E$26), _xlfn.XLOOKUP($E113,$D$31:$D$35,$E$31:$E$35),H59, $F71)</f>
        <v>69.416467101543759</v>
      </c>
      <c r="I113" s="15" cm="1">
        <f t="array" aca="1" ref="I113" ca="1">MMS_Dairy_ManureAppliedToSoils_Equations.VEERG_4_3_1_8__2_MassOfNitrogenAppliedToSoilsScope3(I47, _xlfn.XLOOKUP($E113, $D$22:$D$26,$E$22:$E$26), _xlfn.XLOOKUP($E113,$D$31:$D$35,$E$31:$E$35),I59, $F71)</f>
        <v>219.08501485456401</v>
      </c>
      <c r="J113" s="15" cm="1">
        <f t="array" aca="1" ref="J113" ca="1">MMS_Dairy_ManureAppliedToSoils_Equations.VEERG_4_3_1_8__2_MassOfNitrogenAppliedToSoilsScope3(J47, _xlfn.XLOOKUP($E113, $D$22:$D$26,$E$22:$E$26), _xlfn.XLOOKUP($E113,$D$31:$D$35,$E$31:$E$35),J59, $F71)</f>
        <v>91.715410166294944</v>
      </c>
      <c r="K113" s="16"/>
      <c r="O113" s="15" t="str">
        <f>INDEX(X_Table_Dairy_ProductionSystems_Method1,4,1)</f>
        <v>Feed pad</v>
      </c>
      <c r="P113" s="15" t="s">
        <v>75</v>
      </c>
      <c r="Q113" s="15" cm="1">
        <f t="array" aca="1" ref="Q113" ca="1">MMS_Dairy_ManureAppliedToSoils_Equations.VEERG_4_3_1_8__2_MassOfNitrogenAppliedToSoilsScope3(Q47, _xlfn.XLOOKUP($P113, $D$22:$D$26,$E$22:$E$26), _xlfn.XLOOKUP($P113,$D$31:$D$35,$E$31:$E$35),Q59, $F71)</f>
        <v>381.57488194495664</v>
      </c>
      <c r="R113" s="15" cm="1">
        <f t="array" aca="1" ref="R113" ca="1">MMS_Dairy_ManureAppliedToSoils_Equations.VEERG_4_3_1_8__2_MassOfNitrogenAppliedToSoilsScope3(R47, _xlfn.XLOOKUP($P113, $D$22:$D$26,$E$22:$E$26), _xlfn.XLOOKUP($P113,$D$31:$D$35,$E$31:$E$35),R59, $F71)</f>
        <v>174.28649323543314</v>
      </c>
      <c r="S113" s="15" cm="1">
        <f t="array" aca="1" ref="S113" ca="1">MMS_Dairy_ManureAppliedToSoils_Equations.VEERG_4_3_1_8__2_MassOfNitrogenAppliedToSoilsScope3(S47, _xlfn.XLOOKUP($P113, $D$22:$D$26,$E$22:$E$26), _xlfn.XLOOKUP($P113,$D$31:$D$35,$E$31:$E$35),S59, $F71)</f>
        <v>69.416467101543759</v>
      </c>
      <c r="T113" s="15" cm="1">
        <f t="array" aca="1" ref="T113" ca="1">MMS_Dairy_ManureAppliedToSoils_Equations.VEERG_4_3_1_8__2_MassOfNitrogenAppliedToSoilsScope3(T47, _xlfn.XLOOKUP($P113, $D$22:$D$26,$E$22:$E$26), _xlfn.XLOOKUP($P113,$D$31:$D$35,$E$31:$E$35),T59, $F71)</f>
        <v>219.08501485456401</v>
      </c>
      <c r="U113" s="15" cm="1">
        <f t="array" aca="1" ref="U113" ca="1">MMS_Dairy_ManureAppliedToSoils_Equations.VEERG_4_3_1_8__2_MassOfNitrogenAppliedToSoilsScope3(U47, _xlfn.XLOOKUP($P113, $D$22:$D$26,$E$22:$E$26), _xlfn.XLOOKUP($P113,$D$31:$D$35,$E$31:$E$35),U59, $F71)</f>
        <v>91.715410166294944</v>
      </c>
      <c r="V113" s="16"/>
    </row>
    <row r="114" spans="3:23" ht="20.100000000000001" customHeight="1" x14ac:dyDescent="0.25"/>
    <row r="115" spans="3:23" ht="20.100000000000001" customHeight="1" x14ac:dyDescent="0.25">
      <c r="D115" s="88" t="s">
        <v>535</v>
      </c>
      <c r="E115" s="91">
        <f ca="1">SUM(F106:J113)</f>
        <v>3864.1929695395502</v>
      </c>
      <c r="F115" s="90" t="str">
        <f>$E$11</f>
        <v>kg N</v>
      </c>
      <c r="O115" s="88" t="s">
        <v>535</v>
      </c>
      <c r="P115" s="91">
        <f ca="1">SUM(Q106:U113)</f>
        <v>3864.1929695395502</v>
      </c>
      <c r="Q115" s="90" t="str">
        <f>$E$11</f>
        <v>kg N</v>
      </c>
    </row>
    <row r="116" spans="3:23" ht="20.100000000000001" customHeight="1" x14ac:dyDescent="0.25"/>
    <row r="117" spans="3:23" ht="20.100000000000001" customHeight="1" x14ac:dyDescent="0.25"/>
    <row r="118" spans="3:23" ht="20.100000000000001" customHeight="1" x14ac:dyDescent="0.25">
      <c r="C118" s="89"/>
      <c r="D118" s="89"/>
      <c r="E118" s="89"/>
      <c r="F118" s="89"/>
      <c r="G118" s="89"/>
      <c r="H118" s="89"/>
      <c r="I118" s="89"/>
      <c r="J118" s="89"/>
      <c r="K118" s="89"/>
      <c r="L118" s="89"/>
      <c r="N118" s="89"/>
      <c r="O118" s="89"/>
      <c r="P118" s="89"/>
      <c r="Q118" s="89"/>
      <c r="R118" s="89"/>
      <c r="S118" s="89"/>
      <c r="T118" s="89"/>
      <c r="U118" s="89"/>
      <c r="V118" s="89"/>
      <c r="W118" s="89"/>
    </row>
    <row r="119" spans="3:23" ht="20.100000000000001" customHeight="1" x14ac:dyDescent="0.25">
      <c r="D119" s="139" t="str">
        <f>"Below are applications of " &amp; D6 &amp; " that are applied to the following contexts:"</f>
        <v>Below are applications of VEERG 2026: 4.3.1.8, Equation (1) that are applied to the following contexts:</v>
      </c>
      <c r="E119" s="43"/>
      <c r="F119" s="43"/>
      <c r="G119" s="43"/>
      <c r="H119" s="44"/>
    </row>
    <row r="120" spans="3:23" ht="20.100000000000001" customHeight="1" x14ac:dyDescent="0.25">
      <c r="D120" s="45" t="s">
        <v>536</v>
      </c>
      <c r="E120" s="46"/>
      <c r="F120" s="46"/>
      <c r="G120" s="46"/>
      <c r="H120" s="47"/>
    </row>
    <row r="121" spans="3:23" ht="20.100000000000001" customHeight="1" x14ac:dyDescent="0.25"/>
    <row r="122" spans="3:23" ht="20.100000000000001" customHeight="1" x14ac:dyDescent="0.25">
      <c r="D122" s="2" t="s">
        <v>537</v>
      </c>
    </row>
    <row r="123" spans="3:23" ht="20.100000000000001" customHeight="1" x14ac:dyDescent="0.25"/>
    <row r="124" spans="3:23" ht="20.100000000000001" customHeight="1" x14ac:dyDescent="0.25">
      <c r="D124" s="121" t="s">
        <v>538</v>
      </c>
    </row>
    <row r="125" spans="3:23" ht="20.100000000000001" customHeight="1" x14ac:dyDescent="0.25">
      <c r="D125" s="122" t="s">
        <v>539</v>
      </c>
    </row>
    <row r="126" spans="3:23" ht="20.100000000000001" customHeight="1" x14ac:dyDescent="0.25">
      <c r="D126" s="81" t="s">
        <v>161</v>
      </c>
      <c r="E126" s="81" t="s">
        <v>388</v>
      </c>
      <c r="F126" s="81" t="s">
        <v>540</v>
      </c>
    </row>
    <row r="127" spans="3:23" ht="20.100000000000001" customHeight="1" x14ac:dyDescent="0.25">
      <c r="D127" s="15" t="str">
        <f>INDEX(X_Table_Dairy_ProductionSystems_Method1,3,1)</f>
        <v>Milking shed</v>
      </c>
      <c r="E127" s="15" t="str">
        <f>INDEX(X_Table_Dairy_Stage1MMS_1_AnaerobicLagoon,2,1)</f>
        <v>Anaerobic lagoon</v>
      </c>
      <c r="F127" s="15">
        <f>INDEX(X_Table_Dairy_Stage1MMS_1_AnaerobicLagoon_Destinations,2,3)</f>
        <v>0.25</v>
      </c>
      <c r="G127" s="16" t="str">
        <f>G101</f>
        <v>fraction</v>
      </c>
    </row>
    <row r="128" spans="3:23" ht="20.100000000000001" customHeight="1" x14ac:dyDescent="0.25">
      <c r="D128" s="15" t="str">
        <f>INDEX(X_Table_Dairy_ProductionSystems_Method1,3,1)</f>
        <v>Milking shed</v>
      </c>
      <c r="E128" s="15" t="str">
        <f>INDEX(X_Table_Dairy_Stage1MMS_1_SumpAndDispersal,2,1)</f>
        <v>Sump and dispersal system</v>
      </c>
      <c r="F128" s="15">
        <f>INDEX(X_Table_Dairy_Stage1MMS_1_SumpAndDispersal_Destinations,2,3)</f>
        <v>0.25</v>
      </c>
      <c r="G128" s="16"/>
    </row>
    <row r="129" spans="4:22" ht="20.100000000000001" customHeight="1" x14ac:dyDescent="0.25">
      <c r="D129" s="15" t="str">
        <f>INDEX(X_Table_Dairy_ProductionSystems_Method1,3,1)</f>
        <v>Milking shed</v>
      </c>
      <c r="E129" s="15" t="str">
        <f>INDEX(X_Table_Dairy_Stage1MMS_1_DrainsToPaddock,2,1)</f>
        <v>Drains to paddock</v>
      </c>
      <c r="F129" s="15">
        <f>INDEX(X_Table_Dairy_Stage1MMS_1_DrainsToPaddock_Destinations,2,3)</f>
        <v>0.25</v>
      </c>
      <c r="G129" s="16"/>
    </row>
    <row r="130" spans="4:22" ht="20.100000000000001" customHeight="1" x14ac:dyDescent="0.25">
      <c r="D130" s="15" t="str">
        <f>INDEX(X_Table_Dairy_ProductionSystems_Method1,3,1)</f>
        <v>Milking shed</v>
      </c>
      <c r="E130" s="15" t="s">
        <v>75</v>
      </c>
      <c r="F130" s="15">
        <f>INDEX(X_Table_Dairy_Stage1MMS_1_SolidStorage_Destinations,2,3)</f>
        <v>0.25</v>
      </c>
      <c r="G130" s="16"/>
    </row>
    <row r="131" spans="4:22" ht="20.100000000000001" customHeight="1" x14ac:dyDescent="0.25">
      <c r="D131" s="15" t="str">
        <f>INDEX(X_Table_Dairy_ProductionSystems_Method1,4,1)</f>
        <v>Feed pad</v>
      </c>
      <c r="E131" s="15" t="str">
        <f>INDEX(X_Table_Dairy_Stage1MMS_2_AnaerobicLagoon,2,1)</f>
        <v>Anaerobic lagoon</v>
      </c>
      <c r="F131" s="15">
        <f>INDEX(X_Table_Dairy_Stage1MMS_2_AnaerobicLagoon_Destinations,2,3)</f>
        <v>0.25</v>
      </c>
      <c r="G131" s="16"/>
    </row>
    <row r="132" spans="4:22" ht="20.100000000000001" customHeight="1" x14ac:dyDescent="0.25">
      <c r="D132" s="15" t="str">
        <f>INDEX(X_Table_Dairy_ProductionSystems_Method1,4,1)</f>
        <v>Feed pad</v>
      </c>
      <c r="E132" s="15" t="str">
        <f>INDEX(X_Table_Dairy_Stage1MMS_2_SumpAndDispersal,2,1)</f>
        <v>Sump and dispersal system</v>
      </c>
      <c r="F132" s="15">
        <f>INDEX(X_Table_Dairy_Stage1MMS_2_SumpAndDispersal_Destinations,2,3)</f>
        <v>0.25</v>
      </c>
      <c r="G132" s="16"/>
    </row>
    <row r="133" spans="4:22" ht="20.100000000000001" customHeight="1" x14ac:dyDescent="0.25">
      <c r="D133" s="15" t="str">
        <f>INDEX(X_Table_Dairy_ProductionSystems_Method1,4,1)</f>
        <v>Feed pad</v>
      </c>
      <c r="E133" s="15" t="str">
        <f>INDEX(X_Table_Dairy_Stage1MMS_2_DrainsToPaddock,2,1)</f>
        <v>Drains to paddock</v>
      </c>
      <c r="F133" s="15">
        <f>INDEX(X_Table_Dairy_Stage1MMS_2_DrainsToPaddock_Destinations,2,3)</f>
        <v>0.25</v>
      </c>
      <c r="G133" s="16"/>
    </row>
    <row r="134" spans="4:22" ht="20.100000000000001" customHeight="1" x14ac:dyDescent="0.25">
      <c r="D134" s="15" t="str">
        <f>INDEX(X_Table_Dairy_ProductionSystems_Method1,4,1)</f>
        <v>Feed pad</v>
      </c>
      <c r="E134" s="15" t="s">
        <v>75</v>
      </c>
      <c r="F134" s="15">
        <f>INDEX(X_Table_Dairy_Stage1MMS_2_SolidStorage_Destinations,2,3)</f>
        <v>0.25</v>
      </c>
      <c r="G134" s="16"/>
    </row>
    <row r="135" spans="4:22" ht="20.100000000000001" customHeight="1" x14ac:dyDescent="0.25"/>
    <row r="136" spans="4:22" ht="20.100000000000001" customHeight="1" x14ac:dyDescent="0.25">
      <c r="D136" s="121" t="s">
        <v>541</v>
      </c>
      <c r="O136" s="121" t="s">
        <v>542</v>
      </c>
    </row>
    <row r="137" spans="4:22" ht="20.100000000000001" customHeight="1" x14ac:dyDescent="0.25">
      <c r="D137" s="122" t="s">
        <v>543</v>
      </c>
      <c r="O137" s="122" t="s">
        <v>544</v>
      </c>
    </row>
    <row r="138" spans="4:22" ht="20.100000000000001" customHeight="1" x14ac:dyDescent="0.25">
      <c r="D138" s="123" t="s">
        <v>161</v>
      </c>
      <c r="E138" s="123" t="s">
        <v>388</v>
      </c>
      <c r="F138" s="123" t="s">
        <v>295</v>
      </c>
      <c r="G138" s="123" t="s">
        <v>296</v>
      </c>
      <c r="H138" s="123" t="s">
        <v>297</v>
      </c>
      <c r="I138" s="123" t="s">
        <v>298</v>
      </c>
      <c r="J138" s="123" t="s">
        <v>299</v>
      </c>
      <c r="O138" s="123" t="s">
        <v>161</v>
      </c>
      <c r="P138" s="123" t="s">
        <v>388</v>
      </c>
      <c r="Q138" s="123" t="s">
        <v>295</v>
      </c>
      <c r="R138" s="123" t="s">
        <v>296</v>
      </c>
      <c r="S138" s="123" t="s">
        <v>297</v>
      </c>
      <c r="T138" s="123" t="s">
        <v>298</v>
      </c>
      <c r="U138" s="123" t="s">
        <v>299</v>
      </c>
    </row>
    <row r="139" spans="4:22" ht="20.100000000000001" customHeight="1" x14ac:dyDescent="0.25">
      <c r="D139" s="15" t="str">
        <f>INDEX(X_Table_Dairy_ProductionSystems_Method1,3,1)</f>
        <v>Milking shed</v>
      </c>
      <c r="E139" s="15" t="str">
        <f>INDEX(X_Table_Dairy_Stage1MMS_1_AnaerobicLagoon,2,1)</f>
        <v>Anaerobic lagoon</v>
      </c>
      <c r="F139" s="15" cm="1">
        <f t="array" ref="F139">MMS_Dairy_ManureAppliedToSoils_Equations.VEERG_4_3_1_8__1_MassOfNitrogenAppliedToSoilsScope1(F40,_xlfn.XLOOKUP($E139,$D$22:$D$26,$E$22:$E$26),_xlfn.XLOOKUP($E139,$D$31:$D$35,$E$31:$E$35),F52,$F127)</f>
        <v>64.877484237713347</v>
      </c>
      <c r="G139" s="15" cm="1">
        <f t="array" ref="G139">MMS_Dairy_ManureAppliedToSoils_Equations.VEERG_4_3_1_8__1_MassOfNitrogenAppliedToSoilsScope1(G40,_xlfn.XLOOKUP($E139,$D$22:$D$26,$E$22:$E$26),_xlfn.XLOOKUP($E139,$D$31:$D$35,$E$31:$E$35),G52,$F127)</f>
        <v>29.633159185145878</v>
      </c>
      <c r="H139" s="15" cm="1">
        <f t="array" ref="H139">MMS_Dairy_ManureAppliedToSoils_Equations.VEERG_4_3_1_8__1_MassOfNitrogenAppliedToSoilsScope1(H40,_xlfn.XLOOKUP($E139,$D$22:$D$26,$E$22:$E$26),_xlfn.XLOOKUP($E139,$D$31:$D$35,$E$31:$E$35),H52,$F127)</f>
        <v>11.802573920124557</v>
      </c>
      <c r="I139" s="15" cm="1">
        <f t="array" ref="I139">MMS_Dairy_ManureAppliedToSoils_Equations.VEERG_4_3_1_8__1_MassOfNitrogenAppliedToSoilsScope1(I40,_xlfn.XLOOKUP($E139,$D$22:$D$26,$E$22:$E$26),_xlfn.XLOOKUP($E139,$D$31:$D$35,$E$31:$E$35),I52,$F127)</f>
        <v>37.250053057728621</v>
      </c>
      <c r="J139" s="15" cm="1">
        <f t="array" ref="J139">MMS_Dairy_ManureAppliedToSoils_Equations.VEERG_4_3_1_8__1_MassOfNitrogenAppliedToSoilsScope1(J40,_xlfn.XLOOKUP($E139,$D$22:$D$26,$E$22:$E$26),_xlfn.XLOOKUP($E139,$D$31:$D$35,$E$31:$E$35),J52,$F127)</f>
        <v>15.593964275346504</v>
      </c>
      <c r="K139" s="16" t="str">
        <f t="shared" ref="K139:K146" si="4">$E$95</f>
        <v>kg N</v>
      </c>
      <c r="O139" s="15" t="str">
        <f>INDEX(X_Table_Dairy_ProductionSystems_Method1,3,1)</f>
        <v>Milking shed</v>
      </c>
      <c r="P139" s="15" t="str">
        <f>INDEX(X_Table_Dairy_Stage1MMS_1_AnaerobicLagoon,2,1)</f>
        <v>Anaerobic lagoon</v>
      </c>
      <c r="Q139" s="15" cm="1">
        <f t="array" ref="Q139">MMS_Dairy_ManureAppliedToSoils_Equations.VEERG_4_3_1_8__1_MassOfNitrogenAppliedToSoilsScope1(Q40,_xlfn.XLOOKUP($P139,$D$22:$D$26,$E$22:$E$26),_xlfn.XLOOKUP($P139,$D$31:$D$35,$E$31:$E$35),Q52,$F127)</f>
        <v>64.877484237713347</v>
      </c>
      <c r="R139" s="15" cm="1">
        <f t="array" ref="R139">MMS_Dairy_ManureAppliedToSoils_Equations.VEERG_4_3_1_8__1_MassOfNitrogenAppliedToSoilsScope1(R40,_xlfn.XLOOKUP($P139,$D$22:$D$26,$E$22:$E$26),_xlfn.XLOOKUP($P139,$D$31:$D$35,$E$31:$E$35),R52,$F127)</f>
        <v>29.633159185145878</v>
      </c>
      <c r="S139" s="15" cm="1">
        <f t="array" ref="S139">MMS_Dairy_ManureAppliedToSoils_Equations.VEERG_4_3_1_8__1_MassOfNitrogenAppliedToSoilsScope1(S40,_xlfn.XLOOKUP($P139,$D$22:$D$26,$E$22:$E$26),_xlfn.XLOOKUP($P139,$D$31:$D$35,$E$31:$E$35),S52,$F127)</f>
        <v>11.802573920124557</v>
      </c>
      <c r="T139" s="15" cm="1">
        <f t="array" ref="T139">MMS_Dairy_ManureAppliedToSoils_Equations.VEERG_4_3_1_8__1_MassOfNitrogenAppliedToSoilsScope1(T40,_xlfn.XLOOKUP($P139,$D$22:$D$26,$E$22:$E$26),_xlfn.XLOOKUP($P139,$D$31:$D$35,$E$31:$E$35),T52,$F127)</f>
        <v>37.250053057728621</v>
      </c>
      <c r="U139" s="15" cm="1">
        <f t="array" ref="U139">MMS_Dairy_ManureAppliedToSoils_Equations.VEERG_4_3_1_8__1_MassOfNitrogenAppliedToSoilsScope1(U40,_xlfn.XLOOKUP($P139,$D$22:$D$26,$E$22:$E$26),_xlfn.XLOOKUP($P139,$D$31:$D$35,$E$31:$E$35),U52,$F127)</f>
        <v>15.593964275346504</v>
      </c>
      <c r="V139" s="16" t="str">
        <f t="shared" ref="V139" si="5">$E$95</f>
        <v>kg N</v>
      </c>
    </row>
    <row r="140" spans="4:22" ht="20.100000000000001" customHeight="1" x14ac:dyDescent="0.25">
      <c r="D140" s="15" t="str">
        <f>INDEX(X_Table_Dairy_ProductionSystems_Method1,3,1)</f>
        <v>Milking shed</v>
      </c>
      <c r="E140" s="15" t="str">
        <f>INDEX(X_Table_Dairy_Stage1MMS_1_SumpAndDispersal,2,1)</f>
        <v>Sump and dispersal system</v>
      </c>
      <c r="F140" s="15" cm="1">
        <f t="array" ref="F140">MMS_Dairy_ManureAppliedToSoils_Equations.VEERG_4_3_1_8__1_MassOfNitrogenAppliedToSoilsScope1(F41,_xlfn.XLOOKUP($E140,$D$22:$D$26,$E$22:$E$26),_xlfn.XLOOKUP($E140,$D$31:$D$35,$E$31:$E$35),F53,$F128)</f>
        <v>92.824708217036019</v>
      </c>
      <c r="G140" s="15" cm="1">
        <f t="array" ref="G140">MMS_Dairy_ManureAppliedToSoils_Equations.VEERG_4_3_1_8__1_MassOfNitrogenAppliedToSoilsScope1(G41,_xlfn.XLOOKUP($E140,$D$22:$D$26,$E$22:$E$26),_xlfn.XLOOKUP($E140,$D$31:$D$35,$E$31:$E$35),G53,$F128)</f>
        <v>42.398212372593328</v>
      </c>
      <c r="H140" s="15" cm="1">
        <f t="array" ref="H140">MMS_Dairy_ManureAppliedToSoils_Equations.VEERG_4_3_1_8__1_MassOfNitrogenAppliedToSoilsScope1(H41,_xlfn.XLOOKUP($E140,$D$22:$D$26,$E$22:$E$26),_xlfn.XLOOKUP($E140,$D$31:$D$35,$E$31:$E$35),H53,$F128)</f>
        <v>16.886759608793596</v>
      </c>
      <c r="I140" s="15" cm="1">
        <f t="array" ref="I140">MMS_Dairy_ManureAppliedToSoils_Equations.VEERG_4_3_1_8__1_MassOfNitrogenAppliedToSoilsScope1(I41,_xlfn.XLOOKUP($E140,$D$22:$D$26,$E$22:$E$26),_xlfn.XLOOKUP($E140,$D$31:$D$35,$E$31:$E$35),I53,$F128)</f>
        <v>53.296229759519406</v>
      </c>
      <c r="J140" s="15" cm="1">
        <f t="array" ref="J140">MMS_Dairy_ManureAppliedToSoils_Equations.VEERG_4_3_1_8__1_MassOfNitrogenAppliedToSoilsScope1(J41,_xlfn.XLOOKUP($E140,$D$22:$D$26,$E$22:$E$26),_xlfn.XLOOKUP($E140,$D$31:$D$35,$E$31:$E$35),J53,$F128)</f>
        <v>22.311364270880382</v>
      </c>
      <c r="K140" s="16" t="str">
        <f t="shared" si="4"/>
        <v>kg N</v>
      </c>
      <c r="O140" s="15" t="str">
        <f>INDEX(X_Table_Dairy_ProductionSystems_Method1,3,1)</f>
        <v>Milking shed</v>
      </c>
      <c r="P140" s="15" t="str">
        <f>INDEX(X_Table_Dairy_Stage1MMS_1_SumpAndDispersal,2,1)</f>
        <v>Sump and dispersal system</v>
      </c>
      <c r="Q140" s="15" cm="1">
        <f t="array" ref="Q140">MMS_Dairy_ManureAppliedToSoils_Equations.VEERG_4_3_1_8__1_MassOfNitrogenAppliedToSoilsScope1(Q41,_xlfn.XLOOKUP($P140,$D$22:$D$26,$E$22:$E$26),_xlfn.XLOOKUP($P140,$D$31:$D$35,$E$31:$E$35),Q53,$F128)</f>
        <v>92.824708217036019</v>
      </c>
      <c r="R140" s="15" cm="1">
        <f t="array" ref="R140">MMS_Dairy_ManureAppliedToSoils_Equations.VEERG_4_3_1_8__1_MassOfNitrogenAppliedToSoilsScope1(R41,_xlfn.XLOOKUP($P140,$D$22:$D$26,$E$22:$E$26),_xlfn.XLOOKUP($P140,$D$31:$D$35,$E$31:$E$35),R53,$F128)</f>
        <v>42.398212372593328</v>
      </c>
      <c r="S140" s="15" cm="1">
        <f t="array" ref="S140">MMS_Dairy_ManureAppliedToSoils_Equations.VEERG_4_3_1_8__1_MassOfNitrogenAppliedToSoilsScope1(S41,_xlfn.XLOOKUP($P140,$D$22:$D$26,$E$22:$E$26),_xlfn.XLOOKUP($P140,$D$31:$D$35,$E$31:$E$35),S53,$F128)</f>
        <v>16.886759608793596</v>
      </c>
      <c r="T140" s="15" cm="1">
        <f t="array" ref="T140">MMS_Dairy_ManureAppliedToSoils_Equations.VEERG_4_3_1_8__1_MassOfNitrogenAppliedToSoilsScope1(T41,_xlfn.XLOOKUP($P140,$D$22:$D$26,$E$22:$E$26),_xlfn.XLOOKUP($P140,$D$31:$D$35,$E$31:$E$35),T53,$F128)</f>
        <v>53.296229759519406</v>
      </c>
      <c r="U140" s="15" cm="1">
        <f t="array" ref="U140">MMS_Dairy_ManureAppliedToSoils_Equations.VEERG_4_3_1_8__1_MassOfNitrogenAppliedToSoilsScope1(U41,_xlfn.XLOOKUP($P140,$D$22:$D$26,$E$22:$E$26),_xlfn.XLOOKUP($P140,$D$31:$D$35,$E$31:$E$35),U53,$F128)</f>
        <v>22.311364270880382</v>
      </c>
      <c r="V140" s="16"/>
    </row>
    <row r="141" spans="4:22" ht="20.100000000000001" customHeight="1" x14ac:dyDescent="0.25">
      <c r="D141" s="15" t="str">
        <f>INDEX(X_Table_Dairy_ProductionSystems_Method1,3,1)</f>
        <v>Milking shed</v>
      </c>
      <c r="E141" s="15" t="str">
        <f>INDEX(X_Table_Dairy_Stage1MMS_1_DrainsToPaddock,2,1)</f>
        <v>Drains to paddock</v>
      </c>
      <c r="F141" s="15" cm="1">
        <f t="array" ref="F141">MMS_Dairy_ManureAppliedToSoils_Equations.VEERG_4_3_1_8__1_MassOfNitrogenAppliedToSoilsScope1(F42,_xlfn.XLOOKUP($E141,$D$22:$D$26,$E$22:$E$26),_xlfn.XLOOKUP($E141,$D$31:$D$35,$E$31:$E$35),F54,$F129)</f>
        <v>79.849211369493361</v>
      </c>
      <c r="G141" s="15" cm="1">
        <f t="array" ref="G141">MMS_Dairy_ManureAppliedToSoils_Equations.VEERG_4_3_1_8__1_MassOfNitrogenAppliedToSoilsScope1(G42,_xlfn.XLOOKUP($E141,$D$22:$D$26,$E$22:$E$26),_xlfn.XLOOKUP($E141,$D$31:$D$35,$E$31:$E$35),G54,$F129)</f>
        <v>36.471580535564158</v>
      </c>
      <c r="H141" s="15" cm="1">
        <f t="array" ref="H141">MMS_Dairy_ManureAppliedToSoils_Equations.VEERG_4_3_1_8__1_MassOfNitrogenAppliedToSoilsScope1(H42,_xlfn.XLOOKUP($E141,$D$22:$D$26,$E$22:$E$26),_xlfn.XLOOKUP($E141,$D$31:$D$35,$E$31:$E$35),H54,$F129)</f>
        <v>14.526244824768686</v>
      </c>
      <c r="I141" s="15" cm="1">
        <f t="array" ref="I141">MMS_Dairy_ManureAppliedToSoils_Equations.VEERG_4_3_1_8__1_MassOfNitrogenAppliedToSoilsScope1(I42,_xlfn.XLOOKUP($E141,$D$22:$D$26,$E$22:$E$26),_xlfn.XLOOKUP($E141,$D$31:$D$35,$E$31:$E$35),I54,$F129)</f>
        <v>45.846219147973692</v>
      </c>
      <c r="J141" s="15" cm="1">
        <f t="array" ref="J141">MMS_Dairy_ManureAppliedToSoils_Equations.VEERG_4_3_1_8__1_MassOfNitrogenAppliedToSoilsScope1(J42,_xlfn.XLOOKUP($E141,$D$22:$D$26,$E$22:$E$26),_xlfn.XLOOKUP($E141,$D$31:$D$35,$E$31:$E$35),J54,$F129)</f>
        <v>19.192571415811084</v>
      </c>
      <c r="K141" s="16" t="str">
        <f t="shared" si="4"/>
        <v>kg N</v>
      </c>
      <c r="O141" s="15" t="str">
        <f>INDEX(X_Table_Dairy_ProductionSystems_Method1,3,1)</f>
        <v>Milking shed</v>
      </c>
      <c r="P141" s="15" t="str">
        <f>INDEX(X_Table_Dairy_Stage1MMS_1_DrainsToPaddock,2,1)</f>
        <v>Drains to paddock</v>
      </c>
      <c r="Q141" s="15" cm="1">
        <f t="array" ref="Q141">MMS_Dairy_ManureAppliedToSoils_Equations.VEERG_4_3_1_8__1_MassOfNitrogenAppliedToSoilsScope1(Q42,_xlfn.XLOOKUP($P141,$D$22:$D$26,$E$22:$E$26),_xlfn.XLOOKUP($P141,$D$31:$D$35,$E$31:$E$35),Q54,$F129)</f>
        <v>79.849211369493361</v>
      </c>
      <c r="R141" s="15" cm="1">
        <f t="array" ref="R141">MMS_Dairy_ManureAppliedToSoils_Equations.VEERG_4_3_1_8__1_MassOfNitrogenAppliedToSoilsScope1(R42,_xlfn.XLOOKUP($P141,$D$22:$D$26,$E$22:$E$26),_xlfn.XLOOKUP($P141,$D$31:$D$35,$E$31:$E$35),R54,$F129)</f>
        <v>36.471580535564158</v>
      </c>
      <c r="S141" s="15" cm="1">
        <f t="array" ref="S141">MMS_Dairy_ManureAppliedToSoils_Equations.VEERG_4_3_1_8__1_MassOfNitrogenAppliedToSoilsScope1(S42,_xlfn.XLOOKUP($P141,$D$22:$D$26,$E$22:$E$26),_xlfn.XLOOKUP($P141,$D$31:$D$35,$E$31:$E$35),S54,$F129)</f>
        <v>14.526244824768686</v>
      </c>
      <c r="T141" s="15" cm="1">
        <f t="array" ref="T141">MMS_Dairy_ManureAppliedToSoils_Equations.VEERG_4_3_1_8__1_MassOfNitrogenAppliedToSoilsScope1(T42,_xlfn.XLOOKUP($P141,$D$22:$D$26,$E$22:$E$26),_xlfn.XLOOKUP($P141,$D$31:$D$35,$E$31:$E$35),T54,$F129)</f>
        <v>45.846219147973692</v>
      </c>
      <c r="U141" s="15" cm="1">
        <f t="array" ref="U141">MMS_Dairy_ManureAppliedToSoils_Equations.VEERG_4_3_1_8__1_MassOfNitrogenAppliedToSoilsScope1(U42,_xlfn.XLOOKUP($P141,$D$22:$D$26,$E$22:$E$26),_xlfn.XLOOKUP($P141,$D$31:$D$35,$E$31:$E$35),U54,$F129)</f>
        <v>19.192571415811084</v>
      </c>
      <c r="V141" s="16"/>
    </row>
    <row r="142" spans="4:22" ht="20.100000000000001" customHeight="1" x14ac:dyDescent="0.25">
      <c r="D142" s="15" t="str">
        <f>INDEX(X_Table_Dairy_ProductionSystems_Method1,3,1)</f>
        <v>Milking shed</v>
      </c>
      <c r="E142" s="15" t="s">
        <v>75</v>
      </c>
      <c r="F142" s="15" cm="1">
        <f t="array" ref="F142">MMS_Dairy_ManureAppliedToSoils_Equations.VEERG_4_3_1_8__1_MassOfNitrogenAppliedToSoilsScope1(F43,_xlfn.XLOOKUP($E142,$D$22:$D$26,$E$22:$E$26),_xlfn.XLOOKUP($E142,$D$31:$D$35,$E$31:$E$35),F55,$F130)</f>
        <v>134.74554418602003</v>
      </c>
      <c r="G142" s="15" cm="1">
        <f t="array" ref="G142">MMS_Dairy_ManureAppliedToSoils_Equations.VEERG_4_3_1_8__1_MassOfNitrogenAppliedToSoilsScope1(G43,_xlfn.XLOOKUP($E142,$D$22:$D$26,$E$22:$E$26),_xlfn.XLOOKUP($E142,$D$31:$D$35,$E$31:$E$35),G55,$F130)</f>
        <v>61.545792153764516</v>
      </c>
      <c r="H142" s="15" cm="1">
        <f t="array" ref="H142">MMS_Dairy_ManureAppliedToSoils_Equations.VEERG_4_3_1_8__1_MassOfNitrogenAppliedToSoilsScope1(H43,_xlfn.XLOOKUP($E142,$D$22:$D$26,$E$22:$E$26),_xlfn.XLOOKUP($E142,$D$31:$D$35,$E$31:$E$35),H55,$F130)</f>
        <v>24.51303814179715</v>
      </c>
      <c r="I142" s="15" cm="1">
        <f t="array" ref="I142">MMS_Dairy_ManureAppliedToSoils_Equations.VEERG_4_3_1_8__1_MassOfNitrogenAppliedToSoilsScope1(I43,_xlfn.XLOOKUP($E142,$D$22:$D$26,$E$22:$E$26),_xlfn.XLOOKUP($E142,$D$31:$D$35,$E$31:$E$35),I55,$F130)</f>
        <v>77.365494812205597</v>
      </c>
      <c r="J142" s="15" cm="1">
        <f t="array" ref="J142">MMS_Dairy_ManureAppliedToSoils_Equations.VEERG_4_3_1_8__1_MassOfNitrogenAppliedToSoilsScope1(J43,_xlfn.XLOOKUP($E142,$D$22:$D$26,$E$22:$E$26),_xlfn.XLOOKUP($E142,$D$31:$D$35,$E$31:$E$35),J55,$F130)</f>
        <v>32.387464264181197</v>
      </c>
      <c r="K142" s="16" t="str">
        <f t="shared" si="4"/>
        <v>kg N</v>
      </c>
      <c r="O142" s="15" t="str">
        <f>INDEX(X_Table_Dairy_ProductionSystems_Method1,3,1)</f>
        <v>Milking shed</v>
      </c>
      <c r="P142" s="15" t="s">
        <v>75</v>
      </c>
      <c r="Q142" s="15" cm="1">
        <f t="array" ref="Q142">MMS_Dairy_ManureAppliedToSoils_Equations.VEERG_4_3_1_8__1_MassOfNitrogenAppliedToSoilsScope1(Q43,_xlfn.XLOOKUP($P142,$D$22:$D$26,$E$22:$E$26),_xlfn.XLOOKUP($P142,$D$31:$D$35,$E$31:$E$35),Q55,$F130)</f>
        <v>134.74554418602003</v>
      </c>
      <c r="R142" s="15" cm="1">
        <f t="array" ref="R142">MMS_Dairy_ManureAppliedToSoils_Equations.VEERG_4_3_1_8__1_MassOfNitrogenAppliedToSoilsScope1(R43,_xlfn.XLOOKUP($P142,$D$22:$D$26,$E$22:$E$26),_xlfn.XLOOKUP($P142,$D$31:$D$35,$E$31:$E$35),R55,$F130)</f>
        <v>61.545792153764516</v>
      </c>
      <c r="S142" s="15" cm="1">
        <f t="array" ref="S142">MMS_Dairy_ManureAppliedToSoils_Equations.VEERG_4_3_1_8__1_MassOfNitrogenAppliedToSoilsScope1(S43,_xlfn.XLOOKUP($P142,$D$22:$D$26,$E$22:$E$26),_xlfn.XLOOKUP($P142,$D$31:$D$35,$E$31:$E$35),S55,$F130)</f>
        <v>24.51303814179715</v>
      </c>
      <c r="T142" s="15" cm="1">
        <f t="array" ref="T142">MMS_Dairy_ManureAppliedToSoils_Equations.VEERG_4_3_1_8__1_MassOfNitrogenAppliedToSoilsScope1(T43,_xlfn.XLOOKUP($P142,$D$22:$D$26,$E$22:$E$26),_xlfn.XLOOKUP($P142,$D$31:$D$35,$E$31:$E$35),T55,$F130)</f>
        <v>77.365494812205597</v>
      </c>
      <c r="U142" s="15" cm="1">
        <f t="array" ref="U142">MMS_Dairy_ManureAppliedToSoils_Equations.VEERG_4_3_1_8__1_MassOfNitrogenAppliedToSoilsScope1(U43,_xlfn.XLOOKUP($P142,$D$22:$D$26,$E$22:$E$26),_xlfn.XLOOKUP($P142,$D$31:$D$35,$E$31:$E$35),U55,$F130)</f>
        <v>32.387464264181197</v>
      </c>
      <c r="V142" s="16"/>
    </row>
    <row r="143" spans="4:22" ht="20.100000000000001" customHeight="1" x14ac:dyDescent="0.25">
      <c r="D143" s="15" t="str">
        <f>INDEX(X_Table_Dairy_ProductionSystems_Method1,4,1)</f>
        <v>Feed pad</v>
      </c>
      <c r="E143" s="15" t="str">
        <f>INDEX(X_Table_Dairy_Stage1MMS_2_AnaerobicLagoon,2,1)</f>
        <v>Anaerobic lagoon</v>
      </c>
      <c r="F143" s="15" cm="1">
        <f t="array" ref="F143">MMS_Dairy_ManureAppliedToSoils_Equations.VEERG_4_3_1_8__1_MassOfNitrogenAppliedToSoilsScope1(F44,_xlfn.XLOOKUP($E143,$D$22:$D$26,$E$22:$E$26),_xlfn.XLOOKUP($E143,$D$31:$D$35,$E$31:$E$35),F56,$F131)</f>
        <v>262.45891350711304</v>
      </c>
      <c r="G143" s="15" cm="1">
        <f t="array" ref="G143">MMS_Dairy_ManureAppliedToSoils_Equations.VEERG_4_3_1_8__1_MassOfNitrogenAppliedToSoilsScope1(G44,_xlfn.XLOOKUP($E143,$D$22:$D$26,$E$22:$E$26),_xlfn.XLOOKUP($E143,$D$31:$D$35,$E$31:$E$35),G56,$F131)</f>
        <v>119.87959852172649</v>
      </c>
      <c r="H143" s="15" cm="1">
        <f t="array" ref="H143">MMS_Dairy_ManureAppliedToSoils_Equations.VEERG_4_3_1_8__1_MassOfNitrogenAppliedToSoilsScope1(H44,_xlfn.XLOOKUP($E143,$D$22:$D$26,$E$22:$E$26),_xlfn.XLOOKUP($E143,$D$31:$D$35,$E$31:$E$35),H56,$F131)</f>
        <v>47.746776313231159</v>
      </c>
      <c r="I143" s="15" cm="1">
        <f t="array" ref="I143">MMS_Dairy_ManureAppliedToSoils_Equations.VEERG_4_3_1_8__1_MassOfNitrogenAppliedToSoilsScope1(I44,_xlfn.XLOOKUP($E143,$D$22:$D$26,$E$22:$E$26),_xlfn.XLOOKUP($E143,$D$31:$D$35,$E$31:$E$35),I56,$F131)</f>
        <v>150.69339646081124</v>
      </c>
      <c r="J143" s="15" cm="1">
        <f t="array" ref="J143">MMS_Dairy_ManureAppliedToSoils_Equations.VEERG_4_3_1_8__1_MassOfNitrogenAppliedToSoilsScope1(J44,_xlfn.XLOOKUP($E143,$D$22:$D$26,$E$22:$E$26),_xlfn.XLOOKUP($E143,$D$31:$D$35,$E$31:$E$35),J56,$F131)</f>
        <v>63.084673659356305</v>
      </c>
      <c r="K143" s="16" t="str">
        <f t="shared" si="4"/>
        <v>kg N</v>
      </c>
      <c r="O143" s="15" t="str">
        <f>INDEX(X_Table_Dairy_ProductionSystems_Method1,4,1)</f>
        <v>Feed pad</v>
      </c>
      <c r="P143" s="15" t="str">
        <f>INDEX(X_Table_Dairy_Stage1MMS_2_AnaerobicLagoon,2,1)</f>
        <v>Anaerobic lagoon</v>
      </c>
      <c r="Q143" s="15" cm="1">
        <f t="array" ref="Q143">MMS_Dairy_ManureAppliedToSoils_Equations.VEERG_4_3_1_8__1_MassOfNitrogenAppliedToSoilsScope1(Q44,_xlfn.XLOOKUP($P143,$D$22:$D$26,$E$22:$E$26),_xlfn.XLOOKUP($P143,$D$31:$D$35,$E$31:$E$35),Q56,$F131)</f>
        <v>262.45891350711304</v>
      </c>
      <c r="R143" s="15" cm="1">
        <f t="array" ref="R143">MMS_Dairy_ManureAppliedToSoils_Equations.VEERG_4_3_1_8__1_MassOfNitrogenAppliedToSoilsScope1(R44,_xlfn.XLOOKUP($P143,$D$22:$D$26,$E$22:$E$26),_xlfn.XLOOKUP($P143,$D$31:$D$35,$E$31:$E$35),R56,$F131)</f>
        <v>119.87959852172649</v>
      </c>
      <c r="S143" s="15" cm="1">
        <f t="array" ref="S143">MMS_Dairy_ManureAppliedToSoils_Equations.VEERG_4_3_1_8__1_MassOfNitrogenAppliedToSoilsScope1(S44,_xlfn.XLOOKUP($P143,$D$22:$D$26,$E$22:$E$26),_xlfn.XLOOKUP($P143,$D$31:$D$35,$E$31:$E$35),S56,$F131)</f>
        <v>47.746776313231159</v>
      </c>
      <c r="T143" s="15" cm="1">
        <f t="array" ref="T143">MMS_Dairy_ManureAppliedToSoils_Equations.VEERG_4_3_1_8__1_MassOfNitrogenAppliedToSoilsScope1(T44,_xlfn.XLOOKUP($P143,$D$22:$D$26,$E$22:$E$26),_xlfn.XLOOKUP($P143,$D$31:$D$35,$E$31:$E$35),T56,$F131)</f>
        <v>150.69339646081124</v>
      </c>
      <c r="U143" s="15" cm="1">
        <f t="array" ref="U143">MMS_Dairy_ManureAppliedToSoils_Equations.VEERG_4_3_1_8__1_MassOfNitrogenAppliedToSoilsScope1(U44,_xlfn.XLOOKUP($P143,$D$22:$D$26,$E$22:$E$26),_xlfn.XLOOKUP($P143,$D$31:$D$35,$E$31:$E$35),U56,$F131)</f>
        <v>63.084673659356305</v>
      </c>
      <c r="V143" s="16"/>
    </row>
    <row r="144" spans="4:22" ht="20.100000000000001" customHeight="1" x14ac:dyDescent="0.25">
      <c r="D144" s="15" t="str">
        <f>INDEX(X_Table_Dairy_ProductionSystems_Method1,4,1)</f>
        <v>Feed pad</v>
      </c>
      <c r="E144" s="15" t="str">
        <f>INDEX(X_Table_Dairy_Stage1MMS_2_SumpAndDispersal,2,1)</f>
        <v>Sump and dispersal system</v>
      </c>
      <c r="F144" s="15" cm="1">
        <f t="array" ref="F144">MMS_Dairy_ManureAppliedToSoils_Equations.VEERG_4_3_1_8__1_MassOfNitrogenAppliedToSoilsScope1(F45,_xlfn.XLOOKUP($E144,$D$22:$D$26,$E$22:$E$26),_xlfn.XLOOKUP($E144,$D$31:$D$35,$E$31:$E$35),F57,$F132)</f>
        <v>300.41451022968016</v>
      </c>
      <c r="G144" s="15" cm="1">
        <f t="array" ref="G144">MMS_Dairy_ManureAppliedToSoils_Equations.VEERG_4_3_1_8__1_MassOfNitrogenAppliedToSoilsScope1(G45,_xlfn.XLOOKUP($E144,$D$22:$D$26,$E$22:$E$26),_xlfn.XLOOKUP($E144,$D$31:$D$35,$E$31:$E$35),G57,$F132)</f>
        <v>137.21603276948386</v>
      </c>
      <c r="H144" s="15" cm="1">
        <f t="array" ref="H144">MMS_Dairy_ManureAppliedToSoils_Equations.VEERG_4_3_1_8__1_MassOfNitrogenAppliedToSoilsScope1(H45,_xlfn.XLOOKUP($E144,$D$22:$D$26,$E$22:$E$26),_xlfn.XLOOKUP($E144,$D$31:$D$35,$E$31:$E$35),H57,$F132)</f>
        <v>54.651694733913814</v>
      </c>
      <c r="I144" s="15" cm="1">
        <f t="array" ref="I144">MMS_Dairy_ManureAppliedToSoils_Equations.VEERG_4_3_1_8__1_MassOfNitrogenAppliedToSoilsScope1(I45,_xlfn.XLOOKUP($E144,$D$22:$D$26,$E$22:$E$26),_xlfn.XLOOKUP($E144,$D$31:$D$35,$E$31:$E$35),I57,$F132)</f>
        <v>172.48597994899006</v>
      </c>
      <c r="J144" s="15" cm="1">
        <f t="array" ref="J144">MMS_Dairy_ManureAppliedToSoils_Equations.VEERG_4_3_1_8__1_MassOfNitrogenAppliedToSoilsScope1(J45,_xlfn.XLOOKUP($E144,$D$22:$D$26,$E$22:$E$26),_xlfn.XLOOKUP($E144,$D$31:$D$35,$E$31:$E$35),J57,$F132)</f>
        <v>72.207688003940135</v>
      </c>
      <c r="K144" s="16" t="str">
        <f t="shared" si="4"/>
        <v>kg N</v>
      </c>
      <c r="O144" s="15" t="str">
        <f>INDEX(X_Table_Dairy_ProductionSystems_Method1,4,1)</f>
        <v>Feed pad</v>
      </c>
      <c r="P144" s="15" t="str">
        <f>INDEX(X_Table_Dairy_Stage1MMS_2_SumpAndDispersal,2,1)</f>
        <v>Sump and dispersal system</v>
      </c>
      <c r="Q144" s="15" cm="1">
        <f t="array" ref="Q144">MMS_Dairy_ManureAppliedToSoils_Equations.VEERG_4_3_1_8__1_MassOfNitrogenAppliedToSoilsScope1(Q45,_xlfn.XLOOKUP($P144,$D$22:$D$26,$E$22:$E$26),_xlfn.XLOOKUP($P144,$D$31:$D$35,$E$31:$E$35),Q57,$F132)</f>
        <v>300.41451022968016</v>
      </c>
      <c r="R144" s="15" cm="1">
        <f t="array" ref="R144">MMS_Dairy_ManureAppliedToSoils_Equations.VEERG_4_3_1_8__1_MassOfNitrogenAppliedToSoilsScope1(R45,_xlfn.XLOOKUP($P144,$D$22:$D$26,$E$22:$E$26),_xlfn.XLOOKUP($P144,$D$31:$D$35,$E$31:$E$35),R57,$F132)</f>
        <v>137.21603276948386</v>
      </c>
      <c r="S144" s="15" cm="1">
        <f t="array" ref="S144">MMS_Dairy_ManureAppliedToSoils_Equations.VEERG_4_3_1_8__1_MassOfNitrogenAppliedToSoilsScope1(S45,_xlfn.XLOOKUP($P144,$D$22:$D$26,$E$22:$E$26),_xlfn.XLOOKUP($P144,$D$31:$D$35,$E$31:$E$35),S57,$F132)</f>
        <v>54.651694733913814</v>
      </c>
      <c r="T144" s="15" cm="1">
        <f t="array" ref="T144">MMS_Dairy_ManureAppliedToSoils_Equations.VEERG_4_3_1_8__1_MassOfNitrogenAppliedToSoilsScope1(T45,_xlfn.XLOOKUP($P144,$D$22:$D$26,$E$22:$E$26),_xlfn.XLOOKUP($P144,$D$31:$D$35,$E$31:$E$35),T57,$F132)</f>
        <v>172.48597994899006</v>
      </c>
      <c r="U144" s="15" cm="1">
        <f t="array" ref="U144">MMS_Dairy_ManureAppliedToSoils_Equations.VEERG_4_3_1_8__1_MassOfNitrogenAppliedToSoilsScope1(U45,_xlfn.XLOOKUP($P144,$D$22:$D$26,$E$22:$E$26),_xlfn.XLOOKUP($P144,$D$31:$D$35,$E$31:$E$35),U57,$F132)</f>
        <v>72.207688003940135</v>
      </c>
      <c r="V144" s="16"/>
    </row>
    <row r="145" spans="4:22" ht="20.100000000000001" customHeight="1" x14ac:dyDescent="0.25">
      <c r="D145" s="15" t="str">
        <f>INDEX(X_Table_Dairy_ProductionSystems_Method1,4,1)</f>
        <v>Feed pad</v>
      </c>
      <c r="E145" s="15" t="str">
        <f>INDEX(X_Table_Dairy_Stage1MMS_2_DrainsToPaddock,2,1)</f>
        <v>Drains to paddock</v>
      </c>
      <c r="F145" s="15" cm="1">
        <f t="array" ref="F145">MMS_Dairy_ManureAppliedToSoils_Equations.VEERG_4_3_1_8__1_MassOfNitrogenAppliedToSoilsScope1(F46,_xlfn.XLOOKUP($E145,$D$22:$D$26,$E$22:$E$26),_xlfn.XLOOKUP($E145,$D$31:$D$35,$E$31:$E$35),F58,$F133)</f>
        <v>258.42108406854209</v>
      </c>
      <c r="G145" s="15" cm="1">
        <f t="array" ref="G145">MMS_Dairy_ManureAppliedToSoils_Equations.VEERG_4_3_1_8__1_MassOfNitrogenAppliedToSoilsScope1(G46,_xlfn.XLOOKUP($E145,$D$22:$D$26,$E$22:$E$26),_xlfn.XLOOKUP($E145,$D$31:$D$35,$E$31:$E$35),G58,$F133)</f>
        <v>118.03529700600764</v>
      </c>
      <c r="H145" s="15" cm="1">
        <f t="array" ref="H145">MMS_Dairy_ManureAppliedToSoils_Equations.VEERG_4_3_1_8__1_MassOfNitrogenAppliedToSoilsScope1(H46,_xlfn.XLOOKUP($E145,$D$22:$D$26,$E$22:$E$26),_xlfn.XLOOKUP($E145,$D$31:$D$35,$E$31:$E$35),H58,$F133)</f>
        <v>47.012210523796831</v>
      </c>
      <c r="I145" s="15" cm="1">
        <f t="array" ref="I145">MMS_Dairy_ManureAppliedToSoils_Equations.VEERG_4_3_1_8__1_MassOfNitrogenAppliedToSoilsScope1(I46,_xlfn.XLOOKUP($E145,$D$22:$D$26,$E$22:$E$26),_xlfn.XLOOKUP($E145,$D$31:$D$35,$E$31:$E$35),I58,$F133)</f>
        <v>148.37503651526029</v>
      </c>
      <c r="J145" s="15" cm="1">
        <f t="array" ref="J145">MMS_Dairy_ManureAppliedToSoils_Equations.VEERG_4_3_1_8__1_MassOfNitrogenAppliedToSoilsScope1(J46,_xlfn.XLOOKUP($E145,$D$22:$D$26,$E$22:$E$26),_xlfn.XLOOKUP($E145,$D$31:$D$35,$E$31:$E$35),J58,$F133)</f>
        <v>62.114140218443133</v>
      </c>
      <c r="K145" s="16" t="str">
        <f t="shared" si="4"/>
        <v>kg N</v>
      </c>
      <c r="O145" s="15" t="str">
        <f>INDEX(X_Table_Dairy_ProductionSystems_Method1,4,1)</f>
        <v>Feed pad</v>
      </c>
      <c r="P145" s="15" t="str">
        <f>INDEX(X_Table_Dairy_Stage1MMS_2_DrainsToPaddock,2,1)</f>
        <v>Drains to paddock</v>
      </c>
      <c r="Q145" s="15" cm="1">
        <f t="array" ref="Q145">MMS_Dairy_ManureAppliedToSoils_Equations.VEERG_4_3_1_8__1_MassOfNitrogenAppliedToSoilsScope1(Q46,_xlfn.XLOOKUP($P145,$D$22:$D$26,$E$22:$E$26),_xlfn.XLOOKUP($P145,$D$31:$D$35,$E$31:$E$35),Q58,$F133)</f>
        <v>258.42108406854209</v>
      </c>
      <c r="R145" s="15" cm="1">
        <f t="array" ref="R145">MMS_Dairy_ManureAppliedToSoils_Equations.VEERG_4_3_1_8__1_MassOfNitrogenAppliedToSoilsScope1(R46,_xlfn.XLOOKUP($P145,$D$22:$D$26,$E$22:$E$26),_xlfn.XLOOKUP($P145,$D$31:$D$35,$E$31:$E$35),R58,$F133)</f>
        <v>118.03529700600764</v>
      </c>
      <c r="S145" s="15" cm="1">
        <f t="array" ref="S145">MMS_Dairy_ManureAppliedToSoils_Equations.VEERG_4_3_1_8__1_MassOfNitrogenAppliedToSoilsScope1(S46,_xlfn.XLOOKUP($P145,$D$22:$D$26,$E$22:$E$26),_xlfn.XLOOKUP($P145,$D$31:$D$35,$E$31:$E$35),S58,$F133)</f>
        <v>47.012210523796831</v>
      </c>
      <c r="T145" s="15" cm="1">
        <f t="array" ref="T145">MMS_Dairy_ManureAppliedToSoils_Equations.VEERG_4_3_1_8__1_MassOfNitrogenAppliedToSoilsScope1(T46,_xlfn.XLOOKUP($P145,$D$22:$D$26,$E$22:$E$26),_xlfn.XLOOKUP($P145,$D$31:$D$35,$E$31:$E$35),T58,$F133)</f>
        <v>148.37503651526029</v>
      </c>
      <c r="U145" s="15" cm="1">
        <f t="array" ref="U145">MMS_Dairy_ManureAppliedToSoils_Equations.VEERG_4_3_1_8__1_MassOfNitrogenAppliedToSoilsScope1(U46,_xlfn.XLOOKUP($P145,$D$22:$D$26,$E$22:$E$26),_xlfn.XLOOKUP($P145,$D$31:$D$35,$E$31:$E$35),U58,$F133)</f>
        <v>62.114140218443133</v>
      </c>
      <c r="V145" s="16"/>
    </row>
    <row r="146" spans="4:22" ht="20.100000000000001" customHeight="1" x14ac:dyDescent="0.25">
      <c r="D146" s="15" t="str">
        <f>INDEX(X_Table_Dairy_ProductionSystems_Method1,4,1)</f>
        <v>Feed pad</v>
      </c>
      <c r="E146" s="15" t="s">
        <v>75</v>
      </c>
      <c r="F146" s="15" cm="1">
        <f t="array" ref="F146">MMS_Dairy_ManureAppliedToSoils_Equations.VEERG_4_3_1_8__1_MassOfNitrogenAppliedToSoilsScope1(F47,_xlfn.XLOOKUP($E146,$D$22:$D$26,$E$22:$E$26),_xlfn.XLOOKUP($E146,$D$31:$D$35,$E$31:$E$35),F59,$F134)</f>
        <v>381.57488194495664</v>
      </c>
      <c r="G146" s="15" cm="1">
        <f t="array" ref="G146">MMS_Dairy_ManureAppliedToSoils_Equations.VEERG_4_3_1_8__1_MassOfNitrogenAppliedToSoilsScope1(G47,_xlfn.XLOOKUP($E146,$D$22:$D$26,$E$22:$E$26),_xlfn.XLOOKUP($E146,$D$31:$D$35,$E$31:$E$35),G59,$F134)</f>
        <v>174.28649323543314</v>
      </c>
      <c r="H146" s="15" cm="1">
        <f t="array" ref="H146">MMS_Dairy_ManureAppliedToSoils_Equations.VEERG_4_3_1_8__1_MassOfNitrogenAppliedToSoilsScope1(H47,_xlfn.XLOOKUP($E146,$D$22:$D$26,$E$22:$E$26),_xlfn.XLOOKUP($E146,$D$31:$D$35,$E$31:$E$35),H59,$F134)</f>
        <v>69.416467101543759</v>
      </c>
      <c r="I146" s="15" cm="1">
        <f t="array" ref="I146">MMS_Dairy_ManureAppliedToSoils_Equations.VEERG_4_3_1_8__1_MassOfNitrogenAppliedToSoilsScope1(I47,_xlfn.XLOOKUP($E146,$D$22:$D$26,$E$22:$E$26),_xlfn.XLOOKUP($E146,$D$31:$D$35,$E$31:$E$35),I59,$F134)</f>
        <v>219.08501485456401</v>
      </c>
      <c r="J146" s="15" cm="1">
        <f t="array" ref="J146">MMS_Dairy_ManureAppliedToSoils_Equations.VEERG_4_3_1_8__1_MassOfNitrogenAppliedToSoilsScope1(J47,_xlfn.XLOOKUP($E146,$D$22:$D$26,$E$22:$E$26),_xlfn.XLOOKUP($E146,$D$31:$D$35,$E$31:$E$35),J59,$F134)</f>
        <v>91.715410166294944</v>
      </c>
      <c r="K146" s="16" t="str">
        <f t="shared" si="4"/>
        <v>kg N</v>
      </c>
      <c r="O146" s="15" t="str">
        <f>INDEX(X_Table_Dairy_ProductionSystems_Method1,4,1)</f>
        <v>Feed pad</v>
      </c>
      <c r="P146" s="15" t="s">
        <v>75</v>
      </c>
      <c r="Q146" s="15" cm="1">
        <f t="array" ref="Q146">MMS_Dairy_ManureAppliedToSoils_Equations.VEERG_4_3_1_8__1_MassOfNitrogenAppliedToSoilsScope1(Q47,_xlfn.XLOOKUP($P146,$D$22:$D$26,$E$22:$E$26),_xlfn.XLOOKUP($P146,$D$31:$D$35,$E$31:$E$35),Q59,$F134)</f>
        <v>381.57488194495664</v>
      </c>
      <c r="R146" s="15" cm="1">
        <f t="array" ref="R146">MMS_Dairy_ManureAppliedToSoils_Equations.VEERG_4_3_1_8__1_MassOfNitrogenAppliedToSoilsScope1(R47,_xlfn.XLOOKUP($P146,$D$22:$D$26,$E$22:$E$26),_xlfn.XLOOKUP($P146,$D$31:$D$35,$E$31:$E$35),R59,$F134)</f>
        <v>174.28649323543314</v>
      </c>
      <c r="S146" s="15" cm="1">
        <f t="array" ref="S146">MMS_Dairy_ManureAppliedToSoils_Equations.VEERG_4_3_1_8__1_MassOfNitrogenAppliedToSoilsScope1(S47,_xlfn.XLOOKUP($P146,$D$22:$D$26,$E$22:$E$26),_xlfn.XLOOKUP($P146,$D$31:$D$35,$E$31:$E$35),S59,$F134)</f>
        <v>69.416467101543759</v>
      </c>
      <c r="T146" s="15" cm="1">
        <f t="array" ref="T146">MMS_Dairy_ManureAppliedToSoils_Equations.VEERG_4_3_1_8__1_MassOfNitrogenAppliedToSoilsScope1(T47,_xlfn.XLOOKUP($P146,$D$22:$D$26,$E$22:$E$26),_xlfn.XLOOKUP($P146,$D$31:$D$35,$E$31:$E$35),T59,$F134)</f>
        <v>219.08501485456401</v>
      </c>
      <c r="U146" s="15" cm="1">
        <f t="array" ref="U146">MMS_Dairy_ManureAppliedToSoils_Equations.VEERG_4_3_1_8__1_MassOfNitrogenAppliedToSoilsScope1(U47,_xlfn.XLOOKUP($P146,$D$22:$D$26,$E$22:$E$26),_xlfn.XLOOKUP($P146,$D$31:$D$35,$E$31:$E$35),U59,$F134)</f>
        <v>91.715410166294944</v>
      </c>
      <c r="V146" s="16"/>
    </row>
    <row r="147" spans="4:22" ht="20.100000000000001" customHeight="1" x14ac:dyDescent="0.25"/>
    <row r="148" spans="4:22" ht="20.100000000000001" customHeight="1" x14ac:dyDescent="0.25">
      <c r="D148" s="88" t="s">
        <v>545</v>
      </c>
      <c r="E148" s="91">
        <f>SUM(F139:J146)</f>
        <v>3864.1929695395502</v>
      </c>
      <c r="F148" s="90" t="str">
        <f>$E$95</f>
        <v>kg N</v>
      </c>
      <c r="O148" s="88" t="s">
        <v>545</v>
      </c>
      <c r="P148" s="91">
        <f>SUM(Q139:U146)</f>
        <v>3864.1929695395502</v>
      </c>
      <c r="Q148" s="90"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06E236AF-9F33-407C-83E6-A3B59437B95F}"/>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4170-4A11-49F3-8CFC-52BB2F4B8017}">
  <sheetPr>
    <tabColor rgb="FF008000"/>
  </sheetPr>
  <dimension ref="A1:W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style="97"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171</v>
      </c>
      <c r="M1" s="97"/>
    </row>
    <row r="2" spans="1:23" s="3" customFormat="1" ht="20.100000000000001" customHeight="1" x14ac:dyDescent="0.25">
      <c r="A2"/>
      <c r="M2" s="97"/>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MMS_Dairy_N2ODirect_Equations.VEERG_4_3_1_3__2_TotalNitrogenInEachMMS_Title()</f>
        <v>Total nitrogen in each MMS</v>
      </c>
    </row>
    <row r="6" spans="1:23" ht="20.100000000000001" customHeight="1" x14ac:dyDescent="0.25">
      <c r="A6" s="5" t="str">
        <f>HYPERLINK("#'Results'!A1", "Results")</f>
        <v>Results</v>
      </c>
      <c r="D6" s="17" t="str" cm="1">
        <f t="array" ref="D6">MMS_Dairy_N2ODirect_Equations.VEERG_4_3_1_3__2_TotalNitrogenInEachMMS_Source()</f>
        <v>VEERG 2026: 4.3.1.3, Equation (2)</v>
      </c>
    </row>
    <row r="7" spans="1:23" ht="20.100000000000001" customHeight="1" x14ac:dyDescent="0.25">
      <c r="D7" s="117" t="s">
        <v>343</v>
      </c>
      <c r="E7" s="117" t="str" cm="1">
        <f t="array" aca="1" ref="E7" ca="1">Common_InputFunctions.Utility_DisplayFunctionName(F31)</f>
        <v>=MMS_Dairy_N2ODirect_Equations.VEERG_4_3_1_3__2_TotalNitrogenInEachMMS</v>
      </c>
    </row>
    <row r="8" spans="1:23" ht="20.100000000000001" customHeight="1" x14ac:dyDescent="0.25"/>
    <row r="9" spans="1:23" ht="20.100000000000001" customHeight="1" x14ac:dyDescent="0.25">
      <c r="A9" s="7" t="s">
        <v>0</v>
      </c>
      <c r="D9" s="2"/>
    </row>
    <row r="10" spans="1:23" ht="20.100000000000001" customHeight="1" x14ac:dyDescent="0.25">
      <c r="A10" s="5" t="str">
        <f>HYPERLINK("#'Input - Enterprise'!A1", "Enterprise")</f>
        <v>Enterprise</v>
      </c>
      <c r="D10" s="76" t="s">
        <v>344</v>
      </c>
      <c r="E10" s="1" t="str" cm="1">
        <f t="array" ref="E10">MMS_Dairy_N2ODirect_Equations.VEERG_4_3_1_3__2_TotalNitrogenInEachMMS_Variable()</f>
        <v>MN_jm</v>
      </c>
    </row>
    <row r="11" spans="1:23" ht="20.100000000000001" customHeight="1" x14ac:dyDescent="0.25">
      <c r="A11" s="5" t="str">
        <f>HYPERLINK("#'Input - Site'!A1", "Site")</f>
        <v>Site</v>
      </c>
      <c r="D11" s="76" t="s">
        <v>118</v>
      </c>
      <c r="E11" s="9" t="str" cm="1">
        <f t="array" ref="E11">MMS_Dairy_N2ODirect_Equations.VEERG_4_3_1_3__2_TotalNitrogenInEachMMS_Unit()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_xlfn.CHOOSECOLS(MMS_Dairy_N2ODirect_Equations.VEERG_4_3_1_3__2_TotalNitrogenInEachMMS_Arguments(),1,2)</f>
        <v>AE_j</v>
      </c>
      <c r="E13" s="124" t="str">
        <v>total nitrogen excreted by each dairy class</v>
      </c>
      <c r="F13" s="125"/>
      <c r="G13" s="119" t="str" cm="1">
        <f t="array" ref="G13:H14">_xlfn.CHOOSECOLS(MMS_Dairy_N2ODirect_Equations.VEERG_4_3_1_3__2_TotalNitrogenInEachMMS_Arguments(),3,4)</f>
        <v>kg N</v>
      </c>
      <c r="H13" s="127" t="str">
        <v>Calculated from 4.3.1.3 (3a) and (3b)</v>
      </c>
      <c r="I13" s="126" t="str" cm="1">
        <f t="array" aca="1" ref="I13" ca="1">HYPERLINK(Common_InputFunctions.Utility_SourceHyperlink($D$16),$D$16)</f>
        <v>M1_Table_AE_j</v>
      </c>
    </row>
    <row r="14" spans="1:23" ht="20.100000000000001" customHeight="1" x14ac:dyDescent="0.25">
      <c r="A14" s="5" t="str">
        <f>HYPERLINK("#'Input - Dairy cattle purchases'!A1", "Dairy cattle purchases")</f>
        <v>Dairy cattle purchases</v>
      </c>
      <c r="D14" s="119" t="str">
        <v>MMS_jm</v>
      </c>
      <c r="E14" s="124" t="str">
        <v>manure management system fraction for class j and system m</v>
      </c>
      <c r="F14" s="125"/>
      <c r="G14" s="119" t="str">
        <v>fraction</v>
      </c>
      <c r="H14" s="120" t="str">
        <v>Input</v>
      </c>
      <c r="I14" s="126" t="str" cm="1">
        <f t="array" aca="1" ref="I14" ca="1">HYPERLINK(Common_InputFunctions.Utility_SourceHyperlink($D$22),$D$22)</f>
        <v>M1_Table_MMS_j_m-14</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476</v>
      </c>
      <c r="O16" s="121" t="s">
        <v>546</v>
      </c>
    </row>
    <row r="17" spans="1:22" ht="20.100000000000001" customHeight="1" x14ac:dyDescent="0.25">
      <c r="A17" s="5" t="str">
        <f>HYPERLINK("#'Input - Fertiliser'!A1", "Fertiliser")</f>
        <v>Fertiliser</v>
      </c>
      <c r="D17" s="122" t="s">
        <v>547</v>
      </c>
      <c r="O17" s="122" t="s">
        <v>548</v>
      </c>
    </row>
    <row r="18" spans="1:22" ht="20.100000000000001" customHeight="1" x14ac:dyDescent="0.25">
      <c r="A18" s="5" t="str">
        <f>HYPERLINK("#'Input - Fuel'!A1", "Fuel")</f>
        <v>Fuel</v>
      </c>
      <c r="D18" s="123" t="s">
        <v>295</v>
      </c>
      <c r="E18" s="123" t="s">
        <v>296</v>
      </c>
      <c r="F18" s="123" t="s">
        <v>297</v>
      </c>
      <c r="G18" s="123" t="s">
        <v>298</v>
      </c>
      <c r="H18" s="123" t="s">
        <v>299</v>
      </c>
      <c r="O18" s="123" t="s">
        <v>295</v>
      </c>
      <c r="P18" s="123" t="s">
        <v>296</v>
      </c>
      <c r="Q18" s="123" t="s">
        <v>297</v>
      </c>
      <c r="R18" s="123" t="s">
        <v>298</v>
      </c>
      <c r="S18" s="123" t="s">
        <v>299</v>
      </c>
    </row>
    <row r="19" spans="1:22" ht="20.100000000000001" customHeight="1" x14ac:dyDescent="0.25">
      <c r="A19" s="5" t="str">
        <f>HYPERLINK("#'Input - Electricity'!A1", "Electricity")</f>
        <v>Electricity</v>
      </c>
      <c r="D19" s="15">
        <f>INDEX(M1_Table_AE_j124,2,1)</f>
        <v>18147.548038521214</v>
      </c>
      <c r="E19" s="15">
        <f>INDEX(M1_Table_AE_j124,2,2)</f>
        <v>8288.9955762645804</v>
      </c>
      <c r="F19" s="15">
        <f>INDEX(M1_Table_AE_j_Consumer_1,2,3)</f>
        <v>3301.419278356519</v>
      </c>
      <c r="G19" s="15">
        <f>INDEX(M1_Table_AE_j124,2,4)</f>
        <v>10419.59526090311</v>
      </c>
      <c r="H19" s="15">
        <f>INDEX(M1_Table_AE_j_Consumer_1,2,5)</f>
        <v>4361.9480490479727</v>
      </c>
      <c r="I19" s="16" t="str">
        <f>$G$13</f>
        <v>kg N</v>
      </c>
      <c r="O19" s="15">
        <f>INDEX(M2_Table_AE_j124,2,1)</f>
        <v>18147.548038521214</v>
      </c>
      <c r="P19" s="15">
        <f>INDEX(M2_Table_AE_j124,2,2)</f>
        <v>8288.9955762645804</v>
      </c>
      <c r="Q19" s="15">
        <f>INDEX(M1_Table_AE_j,2,3)</f>
        <v>3301.419278356519</v>
      </c>
      <c r="R19" s="15">
        <f>INDEX(M2_Table_AE_j124,2,4)</f>
        <v>10419.59526090311</v>
      </c>
      <c r="S19" s="15">
        <f>INDEX(M1_Table_AE_j,2,5)</f>
        <v>4361.9480490479727</v>
      </c>
      <c r="T19" s="16" t="str">
        <f>$G$13</f>
        <v>kg N</v>
      </c>
    </row>
    <row r="20" spans="1:22" ht="20.100000000000001" customHeight="1" x14ac:dyDescent="0.25">
      <c r="A20" s="5" t="str">
        <f>HYPERLINK("#'Input - Common farm inputs'!A1", "Common farm inputs")</f>
        <v>Common farm inputs</v>
      </c>
    </row>
    <row r="21" spans="1:22" ht="20.100000000000001" customHeight="1" x14ac:dyDescent="0.25">
      <c r="A21" s="5" t="str">
        <f>HYPERLINK("#'Input - Crop pasture farm input'!A1", "Crop pasture farm input")</f>
        <v>Crop pasture farm input</v>
      </c>
    </row>
    <row r="22" spans="1:22" ht="20.100000000000001" customHeight="1" x14ac:dyDescent="0.25">
      <c r="A22" s="5" t="str">
        <f>HYPERLINK("#'Input - Livestock farm Inputs'!A1", "Livestock farm Inputs")</f>
        <v>Livestock farm Inputs</v>
      </c>
      <c r="D22" s="121" t="s">
        <v>549</v>
      </c>
      <c r="O22" s="121" t="s">
        <v>550</v>
      </c>
    </row>
    <row r="23" spans="1:22" ht="20.100000000000001" customHeight="1" x14ac:dyDescent="0.25">
      <c r="A23" s="5" t="str">
        <f>HYPERLINK("#'Input - Freight'!A1", "Freight")</f>
        <v>Freight</v>
      </c>
      <c r="D23" s="122" t="s">
        <v>551</v>
      </c>
      <c r="O23" s="122" t="s">
        <v>552</v>
      </c>
    </row>
    <row r="24" spans="1:22" ht="20.100000000000001" customHeight="1" x14ac:dyDescent="0.25">
      <c r="A24" s="5" t="str">
        <f>HYPERLINK("#'Input - Solid waste'!A1", "Solid waste")</f>
        <v>Solid waste</v>
      </c>
      <c r="D24" s="81" t="s">
        <v>161</v>
      </c>
      <c r="E24" s="81" t="s">
        <v>388</v>
      </c>
      <c r="F24" s="81" t="s">
        <v>295</v>
      </c>
      <c r="G24" s="81" t="s">
        <v>296</v>
      </c>
      <c r="H24" s="81" t="s">
        <v>297</v>
      </c>
      <c r="I24" s="81" t="s">
        <v>298</v>
      </c>
      <c r="J24" s="81" t="s">
        <v>299</v>
      </c>
      <c r="O24" s="81" t="s">
        <v>161</v>
      </c>
      <c r="P24" s="81" t="s">
        <v>388</v>
      </c>
      <c r="Q24" s="81" t="s">
        <v>295</v>
      </c>
      <c r="R24" s="81" t="s">
        <v>296</v>
      </c>
      <c r="S24" s="81" t="s">
        <v>297</v>
      </c>
      <c r="T24" s="81" t="s">
        <v>298</v>
      </c>
      <c r="U24" s="81" t="s">
        <v>299</v>
      </c>
    </row>
    <row r="25" spans="1:22" ht="20.100000000000001" customHeight="1" x14ac:dyDescent="0.25">
      <c r="A25" s="5" t="str">
        <f>HYPERLINK("#'Input - Manure sent off-site'!A1", "Manure sent off-site")</f>
        <v>Manure sent off-site</v>
      </c>
      <c r="D25" s="15" t="str">
        <f>INDEX(X_Table_Dairy_ProductionSystems_Method1,2,1)</f>
        <v>Pasture</v>
      </c>
      <c r="E25" s="15" t="str">
        <f>'Constants - Common Livestock'!$E$27</f>
        <v>Pasture range and paddock</v>
      </c>
      <c r="F25" s="15">
        <f>INDEX(X_Table_Dairy_ProductionSystems_Method1,2,2)</f>
        <v>0.53400000000000003</v>
      </c>
      <c r="G25" s="15">
        <f>INDEX(X_Table_Dairy_ProductionSystems_Method1,2,3)</f>
        <v>0.53400000000000003</v>
      </c>
      <c r="H25" s="15">
        <f>INDEX(X_Table_Dairy_ProductionSystems_Method1,2,4)</f>
        <v>0.53400000000000003</v>
      </c>
      <c r="I25" s="15">
        <f>INDEX(X_Table_Dairy_ProductionSystems_Method1,2,5)</f>
        <v>0.53400000000000003</v>
      </c>
      <c r="J25" s="15">
        <f>INDEX(X_Table_Dairy_ProductionSystems_Method1,2,6)</f>
        <v>0.53400000000000003</v>
      </c>
      <c r="K25" s="16" t="str">
        <f>$G$14</f>
        <v>fraction</v>
      </c>
      <c r="O25" s="15" t="str">
        <f>INDEX(X_Table_Dairy_ProductionSystems_Method1,2,1)</f>
        <v>Pasture</v>
      </c>
      <c r="P25" s="15" t="str">
        <f>'Constants - Common Livestock'!$E$27</f>
        <v>Pasture range and paddock</v>
      </c>
      <c r="Q25" s="15">
        <f>INDEX(X_Table_Dairy_ProductionSystems_Method2,2,2)</f>
        <v>0.53400000000000003</v>
      </c>
      <c r="R25" s="15">
        <f>INDEX(X_Table_Dairy_ProductionSystems_Method2,2,3)</f>
        <v>0.53400000000000003</v>
      </c>
      <c r="S25" s="15">
        <f>INDEX(X_Table_Dairy_ProductionSystems_Method2,2,4)</f>
        <v>0.53400000000000003</v>
      </c>
      <c r="T25" s="15">
        <f>INDEX(X_Table_Dairy_ProductionSystems_Method2,2,5)</f>
        <v>0.53400000000000003</v>
      </c>
      <c r="U25" s="15">
        <f>INDEX(X_Table_Dairy_ProductionSystems_Method2,2,6)</f>
        <v>0.53400000000000003</v>
      </c>
      <c r="V25" s="16" t="str">
        <f>$G$14</f>
        <v>fraction</v>
      </c>
    </row>
    <row r="26" spans="1:22" ht="20.100000000000001" customHeight="1" x14ac:dyDescent="0.25">
      <c r="A26" s="5" t="str">
        <f>HYPERLINK("#'Input - Data quality'!A1", "Data quality")</f>
        <v>Data quality</v>
      </c>
    </row>
    <row r="27" spans="1:22" ht="20.100000000000001" customHeight="1" x14ac:dyDescent="0.25">
      <c r="Q27" s="136"/>
    </row>
    <row r="28" spans="1:22" ht="20.100000000000001" customHeight="1" x14ac:dyDescent="0.25">
      <c r="D28" s="121" t="s">
        <v>553</v>
      </c>
      <c r="O28" s="121" t="s">
        <v>554</v>
      </c>
    </row>
    <row r="29" spans="1:22" ht="20.100000000000001" customHeight="1" x14ac:dyDescent="0.25">
      <c r="A29" s="6" t="s">
        <v>2</v>
      </c>
      <c r="D29" s="122" t="s">
        <v>555</v>
      </c>
      <c r="O29" s="122" t="s">
        <v>556</v>
      </c>
    </row>
    <row r="30" spans="1:22" ht="20.100000000000001" customHeight="1" x14ac:dyDescent="0.25">
      <c r="A30" s="5" t="str">
        <f>HYPERLINK("#'3.3.1.1-2 Enteric Methane'!A1", "3.3.1.1-2 Enteric methane")</f>
        <v>3.3.1.1-2 Enteric methane</v>
      </c>
      <c r="D30" s="123" t="s">
        <v>161</v>
      </c>
      <c r="E30" s="123" t="s">
        <v>388</v>
      </c>
      <c r="F30" s="123" t="s">
        <v>295</v>
      </c>
      <c r="G30" s="123" t="s">
        <v>296</v>
      </c>
      <c r="H30" s="123" t="s">
        <v>297</v>
      </c>
      <c r="I30" s="123" t="s">
        <v>298</v>
      </c>
      <c r="J30" s="123" t="s">
        <v>299</v>
      </c>
      <c r="O30" s="123" t="s">
        <v>161</v>
      </c>
      <c r="P30" s="123" t="s">
        <v>388</v>
      </c>
      <c r="Q30" s="123" t="s">
        <v>295</v>
      </c>
      <c r="R30" s="123" t="s">
        <v>296</v>
      </c>
      <c r="S30" s="123" t="s">
        <v>297</v>
      </c>
      <c r="T30" s="123" t="s">
        <v>298</v>
      </c>
      <c r="U30" s="123" t="s">
        <v>299</v>
      </c>
    </row>
    <row r="31" spans="1:22" ht="20.100000000000001" customHeight="1" x14ac:dyDescent="0.25">
      <c r="A31" s="5" t="str">
        <f>HYPERLINK("#'4.3.1.1-2 Methane'!A1", "4.3.1.1-2 Manure methane")</f>
        <v>4.3.1.1-2 Manure methane</v>
      </c>
      <c r="D31" s="15" t="str">
        <f>INDEX(X_Table_Dairy_ProductionSystems_Method1,2,1)</f>
        <v>Pasture</v>
      </c>
      <c r="E31" s="15" t="str">
        <f>'Constants - Common Livestock'!$E$27</f>
        <v>Pasture range and paddock</v>
      </c>
      <c r="F31" s="15" cm="1">
        <f t="array" ref="F31">MMS_Dairy_N2ODirect_Equations.VEERG_4_3_1_3__2_TotalNitrogenInEachMMS(D19,F25)</f>
        <v>9690.7906525703293</v>
      </c>
      <c r="G31" s="15" cm="1">
        <f t="array" ref="G31">MMS_Dairy_N2ODirect_Equations.VEERG_4_3_1_3__2_TotalNitrogenInEachMMS(E19,G25)</f>
        <v>4426.3236377252861</v>
      </c>
      <c r="H31" s="15" cm="1">
        <f t="array" ref="H31">MMS_Dairy_N2ODirect_Equations.VEERG_4_3_1_3__2_TotalNitrogenInEachMMS(F19,H25)</f>
        <v>1762.9578946423812</v>
      </c>
      <c r="I31" s="15" cm="1">
        <f t="array" ref="I31">MMS_Dairy_N2ODirect_Equations.VEERG_4_3_1_3__2_TotalNitrogenInEachMMS(G19,I25)</f>
        <v>5564.0638693222609</v>
      </c>
      <c r="J31" s="15" cm="1">
        <f t="array" ref="J31">MMS_Dairy_N2ODirect_Equations.VEERG_4_3_1_3__2_TotalNitrogenInEachMMS(H19,J25)</f>
        <v>2329.2802581916176</v>
      </c>
      <c r="K31" s="16" t="str">
        <f>$E$11</f>
        <v>kg N</v>
      </c>
      <c r="O31" s="15" t="str">
        <f>INDEX(X_Table_Dairy_ProductionSystems_Method1,2,1)</f>
        <v>Pasture</v>
      </c>
      <c r="P31" s="15" t="str">
        <f>'Constants - Common Livestock'!$E$27</f>
        <v>Pasture range and paddock</v>
      </c>
      <c r="Q31" s="15" cm="1">
        <f t="array" ref="Q31">MMS_Dairy_N2ODirect_Equations.VEERG_4_3_1_3__2_TotalNitrogenInEachMMS(O19,Q25)</f>
        <v>9690.7906525703293</v>
      </c>
      <c r="R31" s="15" cm="1">
        <f t="array" ref="R31">MMS_Dairy_N2ODirect_Equations.VEERG_4_3_1_3__2_TotalNitrogenInEachMMS(P19,R25)</f>
        <v>4426.3236377252861</v>
      </c>
      <c r="S31" s="15" cm="1">
        <f t="array" ref="S31">MMS_Dairy_N2ODirect_Equations.VEERG_4_3_1_3__2_TotalNitrogenInEachMMS(Q19,S25)</f>
        <v>1762.9578946423812</v>
      </c>
      <c r="T31" s="15" cm="1">
        <f t="array" ref="T31">MMS_Dairy_N2ODirect_Equations.VEERG_4_3_1_3__2_TotalNitrogenInEachMMS(R19,T25)</f>
        <v>5564.0638693222609</v>
      </c>
      <c r="U31" s="15" cm="1">
        <f t="array" ref="U31">MMS_Dairy_N2ODirect_Equations.VEERG_4_3_1_3__2_TotalNitrogenInEachMMS(S19,U25)</f>
        <v>2329.2802581916176</v>
      </c>
      <c r="V31" s="16" t="str">
        <f>$E$11</f>
        <v>kg N</v>
      </c>
    </row>
    <row r="32" spans="1:22" ht="20.100000000000001" customHeight="1" x14ac:dyDescent="0.25">
      <c r="A32" s="5" t="str">
        <f>HYPERLINK("#'4.3.1.3-4 Direct N20'!A1", "4.3.1.3-4 Direct N20")</f>
        <v>4.3.1.3-4 Direct N20</v>
      </c>
    </row>
    <row r="33" spans="1:23" ht="20.100000000000001" customHeight="1" x14ac:dyDescent="0.25">
      <c r="A33" s="5" t="str">
        <f>HYPERLINK("#'4.3.1.5 Atmos deposition'!A1", "4.3.1.5 Atmos deposition")</f>
        <v>4.3.1.5 Atmos deposition</v>
      </c>
    </row>
    <row r="34" spans="1:23" ht="20.100000000000001" customHeight="1" x14ac:dyDescent="0.25">
      <c r="A34" s="5" t="str">
        <f>HYPERLINK("#'4.3.1.6-7 Leaching and runoff'!A1", "4.3.1.6-7 Leaching &amp; runoff")</f>
        <v>4.3.1.6-7 Leaching &amp; runoff</v>
      </c>
      <c r="C34" s="89"/>
      <c r="D34" s="89"/>
      <c r="E34" s="89"/>
      <c r="F34" s="89"/>
      <c r="G34" s="89"/>
      <c r="H34" s="89"/>
      <c r="I34" s="89"/>
      <c r="J34" s="89"/>
      <c r="K34" s="89"/>
      <c r="L34" s="89"/>
      <c r="N34" s="89"/>
      <c r="O34" s="89"/>
      <c r="P34" s="89"/>
      <c r="Q34" s="89"/>
      <c r="R34" s="89"/>
      <c r="S34" s="89"/>
      <c r="T34" s="89"/>
      <c r="U34" s="89"/>
      <c r="V34" s="89"/>
      <c r="W34" s="89"/>
    </row>
    <row r="35" spans="1:23" ht="20.100000000000001" customHeight="1" x14ac:dyDescent="0.25">
      <c r="A35" s="5" t="str">
        <f>HYPERLINK("#'4.3.1.8 Manure applied to soils'!A1", "4.3.1.8 Manure applied to soils")</f>
        <v>4.3.1.8 Manure applied to soils</v>
      </c>
      <c r="D35" s="2" t="str" cm="1">
        <f t="array" ref="D35">MMS_Dairy_Soil_N2ODirect_Equations.VEERG_4_3_1_9__1_DirectNitrousOxideEmissionsOnPasture_Title()</f>
        <v>Direct nitrous oxide emissions on pasture</v>
      </c>
    </row>
    <row r="36" spans="1:23" ht="20.100000000000001" customHeight="1" x14ac:dyDescent="0.25">
      <c r="A36" s="118" t="str">
        <f>HYPERLINK("#'4.3.1.9 Soil direct N2O'!A1", "4.3.1.9 Soil direct N2O")</f>
        <v>4.3.1.9 Soil direct N2O</v>
      </c>
      <c r="D36" s="17" t="str" cm="1">
        <f t="array" ref="D36">MMS_Dairy_Soil_N2ODirect_Equations.VEERG_4_3_1_9__1_DirectNitrousOxideEmissionsOnPasture_Source()</f>
        <v>VEERG 2026: 4.3.1.9, Equation (1)</v>
      </c>
    </row>
    <row r="37" spans="1:23" ht="20.100000000000001" customHeight="1" x14ac:dyDescent="0.25">
      <c r="A37" s="5" t="str">
        <f>HYPERLINK("#'4.3.1.10-11 Soil Atmos Dep'!A1", "4.3.1.10-11 Soil Atmos Deposition")</f>
        <v>4.3.1.10-11 Soil Atmos Deposition</v>
      </c>
      <c r="D37" s="117" t="s">
        <v>557</v>
      </c>
      <c r="E37" s="117" t="str" cm="1">
        <f t="array" aca="1" ref="E37" ca="1">Common_InputFunctions.Utility_DisplayFunctionName($F$51)</f>
        <v>=MMS_Dairy_Soil_N2ODirect_Equations.VEERG_4_3_1_9__1_DirectNitrousOxideEmissionsOnPasture</v>
      </c>
    </row>
    <row r="38" spans="1:23" ht="20.100000000000001" customHeight="1" x14ac:dyDescent="0.25">
      <c r="A38" s="5" t="str">
        <f>HYPERLINK("#'4.3.1.12-13 Soil leach runoff'!A1", "4.3.1.12-13 Soil leach &amp; runoff")</f>
        <v>4.3.1.12-13 Soil leach &amp; runoff</v>
      </c>
    </row>
    <row r="39" spans="1:23" ht="20.100000000000001" customHeight="1" x14ac:dyDescent="0.25">
      <c r="A39" s="5" t="str">
        <f>HYPERLINK("#'5.1.1.1-2 Inorganic fert N2O'!A1", "5.1.1.1-2 Inorganic fert N2O")</f>
        <v>5.1.1.1-2 Inorganic fert N2O</v>
      </c>
    </row>
    <row r="40" spans="1:23" ht="20.100000000000001" customHeight="1" x14ac:dyDescent="0.25">
      <c r="A40" s="5" t="str">
        <f>HYPERLINK("#'5.1.1.3-4 Inorganic fert CO2'!A1", "5.1.1.3-4 Inorganic fert CO2")</f>
        <v>5.1.1.3-4 Inorganic fert CO2</v>
      </c>
      <c r="D40" s="76" t="s">
        <v>344</v>
      </c>
      <c r="E40" s="1" t="str" cm="1">
        <f t="array" ref="E40">MMS_Dairy_Soil_N2ODirect_Equations.VEERG_4_3_1_9__1_DirectNitrousOxideEmissionsOnPasture_Variable()</f>
        <v>E_N2Odir</v>
      </c>
    </row>
    <row r="41" spans="1:23" ht="20.100000000000001" customHeight="1" x14ac:dyDescent="0.25">
      <c r="A41" s="5" t="str">
        <f>HYPERLINK("#'5.2.1.1-2 Organic Fert N2O'!A1", "5.2.1.1-2 Organic fert N2O")</f>
        <v>5.2.1.1-2 Organic fert N2O</v>
      </c>
      <c r="D41" s="76" t="s">
        <v>118</v>
      </c>
      <c r="E41" s="9" t="str" cm="1">
        <f t="array" ref="E41">MMS_Dairy_Soil_N2ODirect_Equations.VEERG_4_3_1_9__1_DirectNitrousOxideEmissionsOnPasture_Unit()</f>
        <v>t N2O</v>
      </c>
    </row>
    <row r="42" spans="1:23" ht="20.100000000000001" customHeight="1" x14ac:dyDescent="0.25">
      <c r="A42" s="5" t="str">
        <f>HYPERLINK("#'5.3.1.1-2 Lime CO2'!A1", "5.3.1.1-2 Lime CO2")</f>
        <v>5.3.1.1-2 Lime CO2</v>
      </c>
    </row>
    <row r="43" spans="1:23" ht="20.100000000000001" customHeight="1" x14ac:dyDescent="0.25">
      <c r="A43" s="5" t="str">
        <f>HYPERLINK("#'5.4.1.1-4 Atmos deposition'!A1", "5.4.1.1-4 Atmos. deposition")</f>
        <v>5.4.1.1-4 Atmos. deposition</v>
      </c>
      <c r="D43" s="119" t="str" cm="1">
        <f t="array" ref="D43:E46">_xlfn.CHOOSECOLS(MMS_Dairy_Soil_N2ODirect_Equations.VEERG_4_3_1_9__1_DirectNitrousOxideEmissionsOnPasture_Arguments(),1,2)</f>
        <v>MN_jm14</v>
      </c>
      <c r="E43" s="124" t="str">
        <v>mass of nitrogen excreted on pasture, range, and paddock for each dairy cattle class</v>
      </c>
      <c r="F43" s="132"/>
      <c r="G43" s="125"/>
      <c r="H43" s="119" t="str" cm="1">
        <f t="array" ref="H43:I46">_xlfn.CHOOSECOLS(MMS_Dairy_Soil_N2ODirect_Equations.VEERG_4_3_1_9__1_DirectNitrousOxideEmissionsOnPasture_Arguments(),3,4)</f>
        <v>kg N</v>
      </c>
      <c r="I43" s="127" t="str">
        <v>Calculated from 4.3.1.3 (2)</v>
      </c>
      <c r="J43" s="126" t="str" cm="1">
        <f t="array" aca="1" ref="J43" ca="1">HYPERLINK(Common_InputFunctions.Utility_SourceHyperlink($D$28),$D$28)</f>
        <v>M1_Table_MN_j_m-14</v>
      </c>
    </row>
    <row r="44" spans="1:23" ht="20.100000000000001" customHeight="1" x14ac:dyDescent="0.25">
      <c r="A44" s="5" t="str">
        <f>HYPERLINK("#'5.5.1.1-2 Leaching and runoff'!A1", "5.5.1.1-2 Leaching &amp; runoff")</f>
        <v>5.5.1.1-2 Leaching &amp; runoff</v>
      </c>
      <c r="D44" s="119" t="str">
        <v>EF_PRP</v>
      </c>
      <c r="E44" s="124" t="str">
        <v>emission factor for nitrous oxide emissions for urine and dung deposited on PRP</v>
      </c>
      <c r="F44" s="132"/>
      <c r="G44" s="125"/>
      <c r="H44" s="119" t="str">
        <v>kg N2O-N/kg N deposited</v>
      </c>
      <c r="I44" s="127" t="str">
        <v>Constant</v>
      </c>
      <c r="J44" s="119" t="str">
        <f>Common_InputFunctions.Utility_LookupValueInTable(J46, Table_SourceData_EFPastureRangeAndPaddock[Climate zone],Table_SourceData_EFPastureRangeAndPaddock[EFPRP])</f>
        <v/>
      </c>
    </row>
    <row r="45" spans="1:23" ht="20.100000000000001" customHeight="1" x14ac:dyDescent="0.25">
      <c r="A45" s="5" t="str">
        <f>HYPERLINK("#'6.2.1.1-2 Pasture residue N2O'!A1", "6.2.1.1-2 Pasture residue N2O")</f>
        <v>6.2.1.1-2 Pasture residue N2O</v>
      </c>
      <c r="D45" s="119" t="str">
        <v>C_N2O</v>
      </c>
      <c r="E45" s="124" t="str">
        <v>factor to convert elemental mass of N2O to molecular mass</v>
      </c>
      <c r="F45" s="132"/>
      <c r="G45" s="125"/>
      <c r="H45" s="119" t="str">
        <v/>
      </c>
      <c r="I45" s="127" t="str">
        <v>Constant</v>
      </c>
      <c r="J45" s="119">
        <f>Common_InputFunctions.Utility_LookupValueInTableNumber("N2O",Table_GasToMolecularConversionFactor[Gas],Table_GasToMolecularConversionFactor[Conversion factor combined])</f>
        <v>1.5714285714285714</v>
      </c>
    </row>
    <row r="46" spans="1:23" ht="20.100000000000001" customHeight="1" x14ac:dyDescent="0.25">
      <c r="A46" s="5" t="str">
        <f>HYPERLINK("#'6.3.1.1-2 Leach runoff pasture'!A1", "6.3.1.1-2 Leach &amp; runoff (pasture)")</f>
        <v>6.3.1.1-2 Leach &amp; runoff (pasture)</v>
      </c>
      <c r="D46" s="119" t="str">
        <v>z</v>
      </c>
      <c r="E46" s="124" t="str">
        <v>Wet or dry climate zone</v>
      </c>
      <c r="F46" s="132"/>
      <c r="G46" s="125"/>
      <c r="H46" s="119" t="str">
        <v/>
      </c>
      <c r="I46" s="120" t="str">
        <v>Input</v>
      </c>
      <c r="J46" s="119">
        <f>X_Cell_Site_WetOrDryClimateZone</f>
        <v>0</v>
      </c>
    </row>
    <row r="47" spans="1:23" ht="20.100000000000001" customHeight="1" x14ac:dyDescent="0.25">
      <c r="A47" s="5" t="str">
        <f>HYPERLINK("#'8.1.1.1-2 Transport fuel'!A1", "8.1.1.1-2 Transport fuel")</f>
        <v>8.1.1.1-2 Transport fuel</v>
      </c>
    </row>
    <row r="48" spans="1:23" ht="20.100000000000001" customHeight="1" x14ac:dyDescent="0.25">
      <c r="A48" s="5" t="str">
        <f>HYPERLINK("#'8.2.1.1-2 Stationary fuel'!A1", "8.2.1.1-2 Stationary fuel")</f>
        <v>8.2.1.1-2 Stationary fuel</v>
      </c>
      <c r="D48" s="121" t="s">
        <v>488</v>
      </c>
      <c r="O48" s="121" t="s">
        <v>489</v>
      </c>
    </row>
    <row r="49" spans="1:22" ht="20.100000000000001" customHeight="1" x14ac:dyDescent="0.25">
      <c r="A49" s="5" t="str">
        <f>HYPERLINK("#'10.1.1-2 Solid waste treatment'!A1", "10.1.1.1-2 Solid waste")</f>
        <v>10.1.1.1-2 Solid waste</v>
      </c>
      <c r="D49" s="122" t="s">
        <v>558</v>
      </c>
      <c r="O49" s="122" t="s">
        <v>559</v>
      </c>
    </row>
    <row r="50" spans="1:22" ht="20.100000000000001" customHeight="1" x14ac:dyDescent="0.25">
      <c r="A50" s="5" t="str">
        <f>HYPERLINK("#'14.1.1-2 Purchased electricity'!A1", "14.1.1-2 Purchased electricity")</f>
        <v>14.1.1-2 Purchased electricity</v>
      </c>
      <c r="D50" s="123" t="s">
        <v>161</v>
      </c>
      <c r="E50" s="123" t="s">
        <v>388</v>
      </c>
      <c r="F50" s="123" t="s">
        <v>295</v>
      </c>
      <c r="G50" s="123" t="s">
        <v>296</v>
      </c>
      <c r="H50" s="123" t="s">
        <v>297</v>
      </c>
      <c r="I50" s="123" t="s">
        <v>298</v>
      </c>
      <c r="J50" s="123" t="s">
        <v>299</v>
      </c>
      <c r="O50" s="123" t="s">
        <v>161</v>
      </c>
      <c r="P50" s="123" t="s">
        <v>388</v>
      </c>
      <c r="Q50" s="123" t="s">
        <v>295</v>
      </c>
      <c r="R50" s="123" t="s">
        <v>296</v>
      </c>
      <c r="S50" s="123" t="s">
        <v>297</v>
      </c>
      <c r="T50" s="123" t="s">
        <v>298</v>
      </c>
      <c r="U50" s="123" t="s">
        <v>299</v>
      </c>
    </row>
    <row r="51" spans="1:22" ht="20.100000000000001" customHeight="1" x14ac:dyDescent="0.25">
      <c r="A51" s="5" t="str">
        <f>HYPERLINK("#'15 Scope 3'!A1", "15 Scope 3")</f>
        <v>15 Scope 3</v>
      </c>
      <c r="D51" s="15" t="str">
        <f>INDEX(X_Table_Dairy_ProductionSystems_Method1,2,1)</f>
        <v>Pasture</v>
      </c>
      <c r="E51" s="15" t="str">
        <f>'Constants - Common Livestock'!$E$27</f>
        <v>Pasture range and paddock</v>
      </c>
      <c r="F51" s="15" t="e" cm="1">
        <f t="array" ref="F51">MMS_Dairy_Soil_N2ODirect_Equations.VEERG_4_3_1_9__1_DirectNitrousOxideEmissionsOnPasture(F31,$J$44,$J$45)</f>
        <v>#VALUE!</v>
      </c>
      <c r="G51" s="15" t="e" cm="1">
        <f t="array" ref="G51">MMS_Dairy_Soil_N2ODirect_Equations.VEERG_4_3_1_9__1_DirectNitrousOxideEmissionsOnPasture(G31,$J$44,$J$45)</f>
        <v>#VALUE!</v>
      </c>
      <c r="H51" s="15" t="e" cm="1">
        <f t="array" ref="H51">MMS_Dairy_Soil_N2ODirect_Equations.VEERG_4_3_1_9__1_DirectNitrousOxideEmissionsOnPasture(H31,$J$44,$J$45)</f>
        <v>#VALUE!</v>
      </c>
      <c r="I51" s="15" t="e" cm="1">
        <f t="array" ref="I51">MMS_Dairy_Soil_N2ODirect_Equations.VEERG_4_3_1_9__1_DirectNitrousOxideEmissionsOnPasture(I31,$J$44,$J$45)</f>
        <v>#VALUE!</v>
      </c>
      <c r="J51" s="15" t="e" cm="1">
        <f t="array" ref="J51">MMS_Dairy_Soil_N2ODirect_Equations.VEERG_4_3_1_9__1_DirectNitrousOxideEmissionsOnPasture(J31,$J$44,$J$45)</f>
        <v>#VALUE!</v>
      </c>
      <c r="K51" s="16" t="str">
        <f>$E$41</f>
        <v>t N2O</v>
      </c>
      <c r="O51" s="15" t="str">
        <f>INDEX(X_Table_Dairy_ProductionSystems_Method1,2,1)</f>
        <v>Pasture</v>
      </c>
      <c r="P51" s="15" t="str">
        <f>'Constants - Common Livestock'!$E$27</f>
        <v>Pasture range and paddock</v>
      </c>
      <c r="Q51" s="15" t="e" cm="1">
        <f t="array" ref="Q51">MMS_Dairy_Soil_N2ODirect_Equations.VEERG_4_3_1_9__1_DirectNitrousOxideEmissionsOnPasture(Q31,$J$44,$J$45)</f>
        <v>#VALUE!</v>
      </c>
      <c r="R51" s="15" t="e" cm="1">
        <f t="array" ref="R51">MMS_Dairy_Soil_N2ODirect_Equations.VEERG_4_3_1_9__1_DirectNitrousOxideEmissionsOnPasture(R31,$J$44,$J$45)</f>
        <v>#VALUE!</v>
      </c>
      <c r="S51" s="15" t="e" cm="1">
        <f t="array" ref="S51">MMS_Dairy_Soil_N2ODirect_Equations.VEERG_4_3_1_9__1_DirectNitrousOxideEmissionsOnPasture(S31,$J$44,$J$45)</f>
        <v>#VALUE!</v>
      </c>
      <c r="T51" s="15" t="e" cm="1">
        <f t="array" ref="T51">MMS_Dairy_Soil_N2ODirect_Equations.VEERG_4_3_1_9__1_DirectNitrousOxideEmissionsOnPasture(T31,$J$44,$J$45)</f>
        <v>#VALUE!</v>
      </c>
      <c r="U51" s="15" t="e" cm="1">
        <f t="array" ref="U51">MMS_Dairy_Soil_N2ODirect_Equations.VEERG_4_3_1_9__1_DirectNitrousOxideEmissionsOnPasture(U31,$J$44,$J$45)</f>
        <v>#VALUE!</v>
      </c>
      <c r="V51" s="16" t="str">
        <f>$E$41</f>
        <v>t N2O</v>
      </c>
    </row>
    <row r="52" spans="1:22" ht="20.100000000000001" customHeight="1" x14ac:dyDescent="0.25">
      <c r="A52" s="5" t="str">
        <f>HYPERLINK("#'Calcs - Manure sent off-site'!A1", "Calcs - Manure sent off-site")</f>
        <v>Calcs - Manure sent off-site</v>
      </c>
    </row>
    <row r="53" spans="1:22" ht="20.100000000000001" customHeight="1" x14ac:dyDescent="0.25">
      <c r="D53" s="88" t="s">
        <v>492</v>
      </c>
      <c r="E53" s="91" t="e">
        <f>SUM(F51:J51)</f>
        <v>#VALUE!</v>
      </c>
      <c r="F53" s="90" t="str">
        <f>$E$41</f>
        <v>t N2O</v>
      </c>
      <c r="O53" s="88" t="s">
        <v>492</v>
      </c>
      <c r="P53" s="91" t="e">
        <f>SUM(Q51:U51)</f>
        <v>#VALUE!</v>
      </c>
      <c r="Q53" s="90" t="str">
        <f>$E$41</f>
        <v>t N2O</v>
      </c>
    </row>
    <row r="54" spans="1:22" ht="20.100000000000001" customHeight="1" x14ac:dyDescent="0.25"/>
    <row r="55" spans="1:22" ht="20.100000000000001" customHeight="1" x14ac:dyDescent="0.25">
      <c r="A55" s="83" t="s">
        <v>1</v>
      </c>
      <c r="D55" s="131" t="str" cm="1">
        <f t="array" ref="D55:E56">Common_Equations.Common_ConvertN2OToCO2e_Arguments()</f>
        <v>EN2O</v>
      </c>
      <c r="E55" s="134" t="str">
        <v>Nitrous oxide emissions (t N2O)</v>
      </c>
      <c r="F55" s="135"/>
      <c r="G55" s="15" t="e">
        <f>VEERG_4_3_1_9__1_DirectNitrousOxideEmissionsOnPasture_Result_Method1</f>
        <v>#VALUE!</v>
      </c>
      <c r="O55" s="131" t="str" cm="1">
        <f t="array" ref="O55:P56">Common_Equations.Common_ConvertN2OToCO2e_Arguments()</f>
        <v>EN2O</v>
      </c>
      <c r="P55" s="134" t="str">
        <v>Nitrous oxide emissions (t N2O)</v>
      </c>
      <c r="Q55" s="135"/>
      <c r="R55" s="15" t="e">
        <f>VEERG_4_3_1_9__1_DirectNitrousOxideEmissionsOnPasture_Result_Method2</f>
        <v>#VALUE!</v>
      </c>
    </row>
    <row r="56" spans="1:22" ht="20.100000000000001" customHeight="1" x14ac:dyDescent="0.25">
      <c r="A56" s="5" t="str">
        <f>HYPERLINK("#'Constants - Dairy'!A1", "Constants - Dairy")</f>
        <v>Constants - Dairy</v>
      </c>
      <c r="D56" s="131" t="str">
        <v>GWPN2O</v>
      </c>
      <c r="E56" s="134" t="str">
        <v>Global warming potential for nitrous oxide (t CO2-e / t N2O)</v>
      </c>
      <c r="F56" s="135"/>
      <c r="G56" s="15">
        <f>Common_InputFunctions.Utility_LookupValueInTableNumber("N2O",Table_GWPData[Gas],Table_GWPData[CO2-e factor])</f>
        <v>265</v>
      </c>
      <c r="O56" s="131" t="str">
        <v>GWPN2O</v>
      </c>
      <c r="P56" s="134" t="str">
        <v>Global warming potential for nitrous oxide (t CO2-e / t N2O)</v>
      </c>
      <c r="Q56" s="135"/>
      <c r="R56" s="15">
        <f>Common_InputFunctions.Utility_LookupValueInTableNumber("N2O",Table_GWPData[Gas],Table_GWPData[CO2-e factor])</f>
        <v>265</v>
      </c>
    </row>
    <row r="57" spans="1:22" ht="20.100000000000001" customHeight="1" x14ac:dyDescent="0.25">
      <c r="A57" s="5" t="str">
        <f>HYPERLINK("#'Constants - Ag Residue'!A1", "Constants - Ag residue")</f>
        <v>Constants - Ag residue</v>
      </c>
    </row>
    <row r="58" spans="1:22" ht="20.100000000000001" customHeight="1" x14ac:dyDescent="0.25">
      <c r="A58" s="5" t="str">
        <f>HYPERLINK("#'Constants - Common Livestock'!A1", "Constants - Common Livestock")</f>
        <v>Constants - Common Livestock</v>
      </c>
      <c r="D58" s="89" t="s">
        <v>493</v>
      </c>
      <c r="E58" s="89" t="e" cm="1">
        <f t="array" ref="E58">Common_Equations.Common_ConvertN2OToCO2e(G55,G56)</f>
        <v>#VALUE!</v>
      </c>
      <c r="F58" s="94" t="str" cm="1">
        <f t="array" ref="F58">Common_Equations.Common_ConvertN2OToCO2e_Unit()</f>
        <v>t CO2e</v>
      </c>
      <c r="O58" s="89" t="s">
        <v>493</v>
      </c>
      <c r="P58" s="89" t="e" cm="1">
        <f t="array" ref="P58">Common_Equations.Common_ConvertN2OToCO2e(R55,R56)</f>
        <v>#VALUE!</v>
      </c>
      <c r="Q58" s="94" t="str" cm="1">
        <f t="array" ref="Q58">Common_Equations.Common_ConvertN2OToCO2e_Unit()</f>
        <v>t CO2e</v>
      </c>
    </row>
    <row r="59" spans="1:22" ht="20.100000000000001" customHeight="1" x14ac:dyDescent="0.25">
      <c r="A59" s="5" t="str">
        <f>HYPERLINK("#'Constants - Electricity'!A1", "Constants - Electricity")</f>
        <v>Constants - Electricity</v>
      </c>
    </row>
    <row r="60" spans="1:22" ht="20.100000000000001" customHeight="1" x14ac:dyDescent="0.25">
      <c r="A60" s="5" t="str">
        <f>HYPERLINK("#'Constants - Fertiliser'!A1", "Constants - Fertiliser")</f>
        <v>Constants - Fertiliser</v>
      </c>
    </row>
    <row r="61" spans="1:22" ht="20.100000000000001" customHeight="1" x14ac:dyDescent="0.25">
      <c r="A61" s="5" t="str">
        <f>HYPERLINK("#'Constants - Fuel'!A1", "Constants - Fuel")</f>
        <v>Constants - Fuel</v>
      </c>
    </row>
    <row r="62" spans="1:22" ht="20.100000000000001" customHeight="1" x14ac:dyDescent="0.25">
      <c r="A62" s="5" t="str">
        <f>HYPERLINK("#'Constants - Scope 3'!A1", "Constants - Scope 3")</f>
        <v>Constants - Scope 3</v>
      </c>
    </row>
    <row r="63" spans="1:22" ht="20.100000000000001" customHeight="1" x14ac:dyDescent="0.25">
      <c r="A63" s="5" t="str">
        <f>HYPERLINK("#'Constants - Common'!A1", "Constants - Common")</f>
        <v>Constants - Common</v>
      </c>
    </row>
    <row r="64" spans="1:22"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5 E31 E34 P25 O34 P31 E51 P51" xr:uid="{692D79C5-3CA5-41F7-BE61-27CCDACEC05F}"/>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09C5-680B-4C7E-AB24-5F2C821FEB1E}">
  <sheetPr>
    <tabColor rgb="FF008000"/>
  </sheetPr>
  <dimension ref="A1:W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560</v>
      </c>
    </row>
    <row r="2" spans="1:23" s="3" customFormat="1" ht="20.100000000000001" customHeight="1" x14ac:dyDescent="0.25">
      <c r="A2"/>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5" t="str">
        <f>HYPERLINK("#'Results'!A1", "Results")</f>
        <v>Results</v>
      </c>
      <c r="D6" s="17" t="str" cm="1">
        <f t="array" ref="D6">MMS_Dairy_Soil_AtmosphericDeposition_Equations.VEERG_4_3_1_10__2_MassOfNitrogenVolatilisedOnPasture_Source()</f>
        <v>VEERG 2026: 4.3.1.10, Equation (2)</v>
      </c>
    </row>
    <row r="7" spans="1:23" ht="20.100000000000001" customHeight="1" x14ac:dyDescent="0.25">
      <c r="D7" s="117" t="s">
        <v>343</v>
      </c>
      <c r="E7" s="117" t="str" cm="1">
        <f t="array" aca="1" ref="E7" ca="1">Common_InputFunctions.Utility_DisplayFunctionName(F24)</f>
        <v>=MMS_Dairy_Soil_AtmosphericDeposition_Equations.VEERG_4_3_1_10__2_MassOfNitrogenVolatilisedOnPasture</v>
      </c>
    </row>
    <row r="8" spans="1:23" ht="20.100000000000001" customHeight="1" x14ac:dyDescent="0.25"/>
    <row r="9" spans="1:23" ht="20.100000000000001" customHeight="1" x14ac:dyDescent="0.25">
      <c r="A9" s="7" t="s">
        <v>0</v>
      </c>
    </row>
    <row r="10" spans="1:23" ht="20.100000000000001" customHeight="1" x14ac:dyDescent="0.25">
      <c r="A10" s="5" t="str">
        <f>HYPERLINK("#'Input - Enterprise'!A1", "Enterprise")</f>
        <v>Enterprise</v>
      </c>
      <c r="D10" s="76" t="s">
        <v>344</v>
      </c>
      <c r="E10" s="1" t="str" cm="1">
        <f t="array" ref="E10">MMS_Dairy_Soil_AtmosphericDeposition_Equations.VEERG_4_3_1_10__2_MassOfNitrogenVolatilisedOnPasture_Variable()</f>
        <v>M_vol_m14</v>
      </c>
    </row>
    <row r="11" spans="1:23" ht="20.100000000000001" customHeight="1" x14ac:dyDescent="0.25">
      <c r="A11" s="5" t="str">
        <f>HYPERLINK("#'Input - Site'!A1", "Site")</f>
        <v>Site</v>
      </c>
      <c r="D11" s="76" t="s">
        <v>118</v>
      </c>
      <c r="E11" s="9" t="str" cm="1">
        <f t="array" ref="E11">MMS_Dairy_Soil_AtmosphericDeposition_Equations.VEERG_4_3_1_10__2_MassOfNitrogenVolatilisedOnPasture_Unit()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4">_xlfn.CHOOSECOLS(MMS_Dairy_Soil_AtmosphericDeposition_Equations.VEERG_4_3_1_10__2_MassOfNitrogenVolatilisedOnPasture_Arguments(),1,2)</f>
        <v>MN_jm14</v>
      </c>
      <c r="E13" s="119" t="str">
        <v>mass of nitrogen excreted on pasture, range and paddock for each dairy class</v>
      </c>
      <c r="F13" s="119"/>
      <c r="G13" s="119" t="str" cm="1">
        <f t="array" ref="G13:H14">_xlfn.CHOOSECOLS(MMS_Dairy_Soil_AtmosphericDeposition_Equations.VEERG_4_3_1_10__2_MassOfNitrogenVolatilisedOnPasture_Arguments(),3,4)</f>
        <v>kg N</v>
      </c>
      <c r="H13" s="127" t="str">
        <v>Calculated from 4.3.1.3 (2)</v>
      </c>
      <c r="I13" s="126" t="str" cm="1">
        <f t="array" aca="1" ref="I13" ca="1">HYPERLINK(Common_InputFunctions.Utility_SourceHyperlink($D$16),$D$16)</f>
        <v>M1_Table_MN_j_m-14</v>
      </c>
    </row>
    <row r="14" spans="1:23" ht="20.100000000000001" customHeight="1" x14ac:dyDescent="0.25">
      <c r="A14" s="5" t="str">
        <f>HYPERLINK("#'Input - Dairy cattle purchases'!A1", "Dairy cattle purchases")</f>
        <v>Dairy cattle purchases</v>
      </c>
      <c r="D14" s="119" t="str">
        <v>FracGASMsoil</v>
      </c>
      <c r="E14" s="119" t="str">
        <v>fraction of nitrogen volatilised from urine and faeces deposited on pasture</v>
      </c>
      <c r="F14" s="119"/>
      <c r="G14" s="119" t="str">
        <v>(kg NH3-N + NOx-N)/kg N)</v>
      </c>
      <c r="H14" s="127" t="str">
        <v>Constant</v>
      </c>
      <c r="I14" s="119">
        <f>SourceData_Dairy_FracGASMSoil_Data</f>
        <v>0.21</v>
      </c>
    </row>
    <row r="15" spans="1:23" ht="20.100000000000001" customHeight="1" x14ac:dyDescent="0.25">
      <c r="A15" s="5" t="str">
        <f>HYPERLINK("#'Input - Pasture'!A1", "Pasture")</f>
        <v>Pasture</v>
      </c>
    </row>
    <row r="16" spans="1:23" ht="20.100000000000001" customHeight="1" x14ac:dyDescent="0.25">
      <c r="A16" s="5" t="str">
        <f>HYPERLINK("#'Input - Fert Prod System'!A1", "Fert Prod System")</f>
        <v>Fert Prod System</v>
      </c>
      <c r="D16" s="121" t="s">
        <v>553</v>
      </c>
      <c r="M16" s="97"/>
      <c r="O16" s="121" t="s">
        <v>554</v>
      </c>
    </row>
    <row r="17" spans="1:23" ht="20.100000000000001" customHeight="1" x14ac:dyDescent="0.25">
      <c r="A17" s="5" t="str">
        <f>HYPERLINK("#'Input - Fertiliser'!A1", "Fertiliser")</f>
        <v>Fertiliser</v>
      </c>
      <c r="D17" s="122" t="s">
        <v>555</v>
      </c>
      <c r="M17" s="97"/>
      <c r="O17" s="122" t="s">
        <v>556</v>
      </c>
    </row>
    <row r="18" spans="1:23" ht="20.100000000000001" customHeight="1" x14ac:dyDescent="0.25">
      <c r="A18" s="5" t="str">
        <f>HYPERLINK("#'Input - Fuel'!A1", "Fuel")</f>
        <v>Fuel</v>
      </c>
      <c r="D18" s="123" t="s">
        <v>161</v>
      </c>
      <c r="E18" s="123" t="s">
        <v>388</v>
      </c>
      <c r="F18" s="123" t="s">
        <v>295</v>
      </c>
      <c r="G18" s="123" t="s">
        <v>296</v>
      </c>
      <c r="H18" s="123" t="s">
        <v>297</v>
      </c>
      <c r="I18" s="123" t="s">
        <v>298</v>
      </c>
      <c r="J18" s="123" t="s">
        <v>299</v>
      </c>
      <c r="M18" s="97"/>
      <c r="O18" s="123" t="s">
        <v>161</v>
      </c>
      <c r="P18" s="123" t="s">
        <v>388</v>
      </c>
      <c r="Q18" s="123" t="s">
        <v>295</v>
      </c>
      <c r="R18" s="123" t="s">
        <v>296</v>
      </c>
      <c r="S18" s="123" t="s">
        <v>297</v>
      </c>
      <c r="T18" s="123" t="s">
        <v>298</v>
      </c>
      <c r="U18" s="123" t="s">
        <v>299</v>
      </c>
    </row>
    <row r="19" spans="1:23" ht="20.100000000000001" customHeight="1" x14ac:dyDescent="0.25">
      <c r="A19" s="5" t="str">
        <f>HYPERLINK("#'Input - Electricity'!A1", "Electricity")</f>
        <v>Electricity</v>
      </c>
      <c r="D19" s="15" t="str">
        <f>INDEX(X_Table_Dairy_ProductionSystems_Method1,2,1)</f>
        <v>Pasture</v>
      </c>
      <c r="E19" s="15" t="str">
        <f>'Constants - Common Livestock'!$E$27</f>
        <v>Pasture range and paddock</v>
      </c>
      <c r="F19" s="15">
        <f>INDEX(M1_Table_MN_j_m14,2,3)</f>
        <v>9690.7906525703293</v>
      </c>
      <c r="G19" s="15">
        <f>INDEX(M1_Table_MN_j_m14,2,4)</f>
        <v>4426.3236377252861</v>
      </c>
      <c r="H19" s="15">
        <f>INDEX(M1_Table_MN_j_m14,2,5)</f>
        <v>1762.9578946423812</v>
      </c>
      <c r="I19" s="15">
        <f>INDEX(M1_Table_MN_j_m14,2,6)</f>
        <v>5564.0638693222609</v>
      </c>
      <c r="J19" s="15">
        <f>INDEX(M1_Table_MN_j_m14,2,7)</f>
        <v>2329.2802581916176</v>
      </c>
      <c r="K19" s="16" t="str">
        <f>$E$11</f>
        <v>kg N</v>
      </c>
      <c r="M19" s="97"/>
      <c r="O19" s="15" t="str">
        <f>INDEX(X_Table_Dairy_ProductionSystems_Method1,2,1)</f>
        <v>Pasture</v>
      </c>
      <c r="P19" s="15" t="str">
        <f>'Constants - Common Livestock'!$E$27</f>
        <v>Pasture range and paddock</v>
      </c>
      <c r="Q19" s="15">
        <f>INDEX(M2_Table_MN_j_m14,2,3)</f>
        <v>9690.7906525703293</v>
      </c>
      <c r="R19" s="15">
        <f>INDEX(M2_Table_MN_j_m14,2,4)</f>
        <v>4426.3236377252861</v>
      </c>
      <c r="S19" s="15">
        <f>INDEX(M2_Table_MN_j_m14,2,5)</f>
        <v>1762.9578946423812</v>
      </c>
      <c r="T19" s="15">
        <f>INDEX(M2_Table_MN_j_m14,2,6)</f>
        <v>5564.0638693222609</v>
      </c>
      <c r="U19" s="15">
        <f>INDEX(M2_Table_MN_j_m14,2,7)</f>
        <v>2329.2802581916176</v>
      </c>
      <c r="V19" s="16" t="str">
        <f>$E$11</f>
        <v>kg N</v>
      </c>
    </row>
    <row r="20" spans="1:23" ht="20.100000000000001" customHeight="1" x14ac:dyDescent="0.25">
      <c r="A20" s="5" t="str">
        <f>HYPERLINK("#'Input - Common farm inputs'!A1", "Common farm inputs")</f>
        <v>Common farm inputs</v>
      </c>
    </row>
    <row r="21" spans="1:23" ht="20.100000000000001" customHeight="1" x14ac:dyDescent="0.25">
      <c r="A21" s="5" t="str">
        <f>HYPERLINK("#'Input - Crop pasture farm input'!A1", "Crop pasture farm input")</f>
        <v>Crop pasture farm input</v>
      </c>
      <c r="D21" s="121" t="s">
        <v>561</v>
      </c>
      <c r="O21" s="121" t="s">
        <v>562</v>
      </c>
    </row>
    <row r="22" spans="1:23" ht="20.100000000000001" customHeight="1" x14ac:dyDescent="0.25">
      <c r="A22" s="5" t="str">
        <f>HYPERLINK("#'Input - Livestock farm Inputs'!A1", "Livestock farm Inputs")</f>
        <v>Livestock farm Inputs</v>
      </c>
      <c r="D22" s="122" t="s">
        <v>563</v>
      </c>
      <c r="O22" s="122" t="s">
        <v>564</v>
      </c>
    </row>
    <row r="23" spans="1:23" ht="20.100000000000001" customHeight="1" x14ac:dyDescent="0.25">
      <c r="A23" s="5" t="str">
        <f>HYPERLINK("#'Input - Freight'!A1", "Freight")</f>
        <v>Freight</v>
      </c>
      <c r="D23" s="123" t="s">
        <v>161</v>
      </c>
      <c r="E23" s="123" t="s">
        <v>388</v>
      </c>
      <c r="F23" s="123" t="s">
        <v>295</v>
      </c>
      <c r="G23" s="123" t="s">
        <v>296</v>
      </c>
      <c r="H23" s="123" t="s">
        <v>297</v>
      </c>
      <c r="I23" s="123" t="s">
        <v>298</v>
      </c>
      <c r="J23" s="123" t="s">
        <v>299</v>
      </c>
      <c r="O23" s="123" t="s">
        <v>161</v>
      </c>
      <c r="P23" s="123" t="s">
        <v>388</v>
      </c>
      <c r="Q23" s="123" t="s">
        <v>295</v>
      </c>
      <c r="R23" s="123" t="s">
        <v>296</v>
      </c>
      <c r="S23" s="123" t="s">
        <v>297</v>
      </c>
      <c r="T23" s="123" t="s">
        <v>298</v>
      </c>
      <c r="U23" s="123" t="s">
        <v>299</v>
      </c>
    </row>
    <row r="24" spans="1:23" ht="20.100000000000001" customHeight="1" x14ac:dyDescent="0.25">
      <c r="A24" s="5" t="str">
        <f>HYPERLINK("#'Input - Solid waste'!A1", "Solid waste")</f>
        <v>Solid waste</v>
      </c>
      <c r="D24" s="15" t="str">
        <f>INDEX(X_Table_Dairy_ProductionSystems_Method1,2,1)</f>
        <v>Pasture</v>
      </c>
      <c r="E24" s="15" t="str">
        <f>'Constants - Common Livestock'!$E$27</f>
        <v>Pasture range and paddock</v>
      </c>
      <c r="F24" s="15" cm="1">
        <f t="array" ref="F24">MMS_Dairy_Soil_AtmosphericDeposition_Equations.VEERG_4_3_1_10__2_MassOfNitrogenVolatilisedOnPasture(F19,$I$14)</f>
        <v>2035.0660370397691</v>
      </c>
      <c r="G24" s="15" cm="1">
        <f t="array" ref="G24">MMS_Dairy_Soil_AtmosphericDeposition_Equations.VEERG_4_3_1_10__2_MassOfNitrogenVolatilisedOnPasture(G19,$I$14)</f>
        <v>929.52796392231005</v>
      </c>
      <c r="H24" s="15" cm="1">
        <f t="array" ref="H24">MMS_Dairy_Soil_AtmosphericDeposition_Equations.VEERG_4_3_1_10__2_MassOfNitrogenVolatilisedOnPasture(H19,$I$14)</f>
        <v>370.22115787490003</v>
      </c>
      <c r="I24" s="15" cm="1">
        <f t="array" ref="I24">MMS_Dairy_Soil_AtmosphericDeposition_Equations.VEERG_4_3_1_10__2_MassOfNitrogenVolatilisedOnPasture(I19,$I$14)</f>
        <v>1168.4534125576747</v>
      </c>
      <c r="J24" s="15" cm="1">
        <f t="array" ref="J24">MMS_Dairy_Soil_AtmosphericDeposition_Equations.VEERG_4_3_1_10__2_MassOfNitrogenVolatilisedOnPasture(J19,$I$14)</f>
        <v>489.14885422023968</v>
      </c>
      <c r="K24" s="16" t="str">
        <f>$E$11</f>
        <v>kg N</v>
      </c>
      <c r="O24" s="15" t="str">
        <f>INDEX(X_Table_Dairy_ProductionSystems_Method1,2,1)</f>
        <v>Pasture</v>
      </c>
      <c r="P24" s="15" t="str">
        <f>'Constants - Common Livestock'!$E$27</f>
        <v>Pasture range and paddock</v>
      </c>
      <c r="Q24" s="15" cm="1">
        <f t="array" ref="Q24">MMS_Dairy_Soil_AtmosphericDeposition_Equations.VEERG_4_3_1_10__2_MassOfNitrogenVolatilisedOnPasture(Q19,$I$14)</f>
        <v>2035.0660370397691</v>
      </c>
      <c r="R24" s="15" cm="1">
        <f t="array" ref="R24">MMS_Dairy_Soil_AtmosphericDeposition_Equations.VEERG_4_3_1_10__2_MassOfNitrogenVolatilisedOnPasture(R19,$I$14)</f>
        <v>929.52796392231005</v>
      </c>
      <c r="S24" s="15" cm="1">
        <f t="array" ref="S24">MMS_Dairy_Soil_AtmosphericDeposition_Equations.VEERG_4_3_1_10__2_MassOfNitrogenVolatilisedOnPasture(S19,$I$14)</f>
        <v>370.22115787490003</v>
      </c>
      <c r="T24" s="15" cm="1">
        <f t="array" ref="T24">MMS_Dairy_Soil_AtmosphericDeposition_Equations.VEERG_4_3_1_10__2_MassOfNitrogenVolatilisedOnPasture(T19,$I$14)</f>
        <v>1168.4534125576747</v>
      </c>
      <c r="U24" s="15" cm="1">
        <f t="array" ref="U24">MMS_Dairy_Soil_AtmosphericDeposition_Equations.VEERG_4_3_1_10__2_MassOfNitrogenVolatilisedOnPasture(U19,$I$14)</f>
        <v>489.14885422023968</v>
      </c>
      <c r="V24" s="16" t="str">
        <f>$E$11</f>
        <v>kg N</v>
      </c>
    </row>
    <row r="25" spans="1:23" ht="20.100000000000001" customHeight="1" x14ac:dyDescent="0.25">
      <c r="A25" s="5" t="str">
        <f>HYPERLINK("#'Input - Manure sent off-site'!A1", "Manure sent off-site")</f>
        <v>Manure sent off-site</v>
      </c>
    </row>
    <row r="26" spans="1:23" ht="20.100000000000001" customHeight="1" x14ac:dyDescent="0.25">
      <c r="A26" s="5" t="str">
        <f>HYPERLINK("#'Input - Data quality'!A1", "Data quality")</f>
        <v>Data quality</v>
      </c>
      <c r="D26" s="93" t="s">
        <v>565</v>
      </c>
      <c r="E26" s="89">
        <f>SUM(F24:J24)</f>
        <v>4992.4174256148935</v>
      </c>
      <c r="F26" s="94" t="str">
        <f>$E$11</f>
        <v>kg N</v>
      </c>
      <c r="O26" s="93" t="s">
        <v>565</v>
      </c>
      <c r="P26" s="89">
        <f>SUM(Q24:U24)</f>
        <v>4992.4174256148935</v>
      </c>
      <c r="Q26" s="94" t="str">
        <f>$E$11</f>
        <v>kg N</v>
      </c>
    </row>
    <row r="27" spans="1:23" ht="20.100000000000001" customHeight="1" x14ac:dyDescent="0.25"/>
    <row r="28" spans="1:23" ht="20.100000000000001" customHeight="1" x14ac:dyDescent="0.25"/>
    <row r="29" spans="1:23" ht="20.100000000000001" customHeight="1" x14ac:dyDescent="0.25">
      <c r="A29" s="6" t="s">
        <v>2</v>
      </c>
      <c r="C29" s="89"/>
      <c r="D29" s="89"/>
      <c r="E29" s="89"/>
      <c r="F29" s="89"/>
      <c r="G29" s="89"/>
      <c r="H29" s="89"/>
      <c r="I29" s="89"/>
      <c r="J29" s="89"/>
      <c r="K29" s="89"/>
      <c r="L29" s="89"/>
      <c r="N29" s="89"/>
      <c r="O29" s="89"/>
      <c r="P29" s="89"/>
      <c r="Q29" s="89"/>
      <c r="R29" s="89"/>
      <c r="S29" s="89"/>
      <c r="T29" s="89"/>
      <c r="U29" s="89"/>
      <c r="V29" s="89"/>
      <c r="W29" s="89"/>
    </row>
    <row r="30" spans="1:23" ht="20.100000000000001" customHeight="1" x14ac:dyDescent="0.25">
      <c r="A30" s="5" t="str">
        <f>HYPERLINK("#'3.3.1.1-2 Enteric Methane'!A1", "3.3.1.1-2 Enteric methane")</f>
        <v>3.3.1.1-2 Enteric methane</v>
      </c>
      <c r="D30" s="2"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A31" s="5" t="str">
        <f>HYPERLINK("#'4.3.1.1-2 Methane'!A1", "4.3.1.1-2 Manure methane")</f>
        <v>4.3.1.1-2 Manure methane</v>
      </c>
      <c r="D31" s="17" t="str" cm="1">
        <f t="array" ref="D31">MMS_Dairy_Soil_AtmosphericDeposition_Equations.VEERG_4_3_1_10__1_AtmosphericDepositionEmissionsFromUrineAndDungOnPasture_Source()</f>
        <v>VEERG 2026: 4.3.1.10, Equation (1)</v>
      </c>
    </row>
    <row r="32" spans="1:23" ht="20.100000000000001" customHeight="1" x14ac:dyDescent="0.25">
      <c r="A32" s="5" t="str">
        <f>HYPERLINK("#'4.3.1.3-4 Direct N20'!A1", "4.3.1.3-4 Direct N20")</f>
        <v>4.3.1.3-4 Direct N20</v>
      </c>
      <c r="D32" s="117" t="s">
        <v>343</v>
      </c>
      <c r="E32" s="117"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1:19" ht="20.100000000000001" customHeight="1" x14ac:dyDescent="0.25">
      <c r="A33" s="5" t="str">
        <f>HYPERLINK("#'4.3.1.5 Atmos deposition'!A1", "4.3.1.5 Atmos deposition")</f>
        <v>4.3.1.5 Atmos deposition</v>
      </c>
    </row>
    <row r="34" spans="1:19" ht="20.100000000000001" customHeight="1" x14ac:dyDescent="0.25">
      <c r="A34" s="5" t="str">
        <f>HYPERLINK("#'4.3.1.6-7 Leaching and runoff'!A1", "4.3.1.6-7 Leaching &amp; runoff")</f>
        <v>4.3.1.6-7 Leaching &amp; runoff</v>
      </c>
    </row>
    <row r="35" spans="1:19" ht="20.100000000000001" customHeight="1" x14ac:dyDescent="0.25">
      <c r="A35" s="5" t="str">
        <f>HYPERLINK("#'4.3.1.8 Manure applied to soils'!A1", "4.3.1.8 Manure applied to soils")</f>
        <v>4.3.1.8 Manure applied to soils</v>
      </c>
      <c r="D35" s="76" t="s">
        <v>344</v>
      </c>
      <c r="E35" s="1" t="str" cm="1">
        <f t="array" ref="E35">MMS_Dairy_Soil_AtmosphericDeposition_Equations.VEERG_4_3_1_10__1_AtmosphericDepositionEmissionsFromUrineAndDungOnPasture_Variable()</f>
        <v>E_N2Oad</v>
      </c>
    </row>
    <row r="36" spans="1:19" ht="20.100000000000001" customHeight="1" x14ac:dyDescent="0.25">
      <c r="A36" s="5" t="str">
        <f>HYPERLINK("#'4.3.1.9 Soil direct N2O'!A1", "4.3.1.9 Soil direct N2O")</f>
        <v>4.3.1.9 Soil direct N2O</v>
      </c>
      <c r="D36" s="76" t="s">
        <v>118</v>
      </c>
      <c r="E36" s="9" t="str" cm="1">
        <f t="array" ref="E36">MMS_Dairy_Soil_AtmosphericDeposition_Equations.VEERG_4_3_1_10__1_AtmosphericDepositionEmissionsFromUrineAndDungOnPasture_Unit()</f>
        <v>t N2O</v>
      </c>
    </row>
    <row r="37" spans="1:19" ht="20.100000000000001" customHeight="1" x14ac:dyDescent="0.25">
      <c r="A37" s="118" t="str">
        <f>HYPERLINK("#'4.3.1.10-11 Soil Atmos Dep'!A1", "4.3.1.10-11 Soil Atmos Deposition")</f>
        <v>4.3.1.10-11 Soil Atmos Deposition</v>
      </c>
    </row>
    <row r="38" spans="1:19" ht="20.100000000000001" customHeight="1" x14ac:dyDescent="0.25">
      <c r="A38" s="5" t="str">
        <f>HYPERLINK("#'4.3.1.12-13 Soil leach runoff'!A1", "4.3.1.12-13 Soil leach &amp; runoff")</f>
        <v>4.3.1.12-13 Soil leach &amp; runoff</v>
      </c>
      <c r="D38" s="119" t="str" cm="1">
        <f t="array" ref="D38:E43">_xlfn.CHOOSECOLS(MMS_Dairy_Soil_AtmosphericDeposition_Equations.VEERG_4_3_1_10__1_AtmosphericDepositionEmissionsFromUrineAndDungOnPasture_Arguments(),1,2)</f>
        <v>M_vol_m14</v>
      </c>
      <c r="E38" s="124" t="str">
        <v>mass of nitrogen volatilised from urine and faeces deposited on pasture</v>
      </c>
      <c r="F38" s="125"/>
      <c r="G38" s="119" t="str" cm="1">
        <f t="array" ref="G38:H43">_xlfn.CHOOSECOLS(MMS_Dairy_Soil_AtmosphericDeposition_Equations.VEERG_4_3_1_10__1_AtmosphericDepositionEmissionsFromUrineAndDungOnPasture_Arguments(),3,4)</f>
        <v>kg N</v>
      </c>
      <c r="H38" s="127" t="str">
        <v>Calculated from 4.3.1.10 (2)</v>
      </c>
      <c r="I38" s="119">
        <f>$E$26</f>
        <v>4992.4174256148935</v>
      </c>
      <c r="O38" s="131" t="str">
        <f>D38</f>
        <v>M_vol_m14</v>
      </c>
      <c r="P38" s="131" t="str">
        <f>E38</f>
        <v>mass of nitrogen volatilised from urine and faeces deposited on pasture</v>
      </c>
      <c r="Q38" s="134"/>
      <c r="R38" s="137"/>
      <c r="S38" s="131">
        <f>$P$26</f>
        <v>4992.4174256148935</v>
      </c>
    </row>
    <row r="39" spans="1:19" ht="20.100000000000001" customHeight="1" x14ac:dyDescent="0.25">
      <c r="A39" s="5" t="str">
        <f>HYPERLINK("#'5.1.1.1-2 Inorganic fert N2O'!A1", "5.1.1.1-2 Inorganic fert N2O")</f>
        <v>5.1.1.1-2 Inorganic fert N2O</v>
      </c>
      <c r="D39" s="119" t="str">
        <v>EF_N2O</v>
      </c>
      <c r="E39" s="124" t="str">
        <v>nitrous oxide emission factor for atmospheric deposition</v>
      </c>
      <c r="F39" s="125"/>
      <c r="G39" s="119" t="str">
        <v>kg N2O-N/kg N</v>
      </c>
      <c r="H39" s="127" t="str">
        <v>Constant</v>
      </c>
      <c r="I39" s="119">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131"/>
      <c r="P39" s="134"/>
      <c r="Q39" s="140"/>
      <c r="R39" s="137"/>
      <c r="S39" s="131"/>
    </row>
    <row r="40" spans="1:19" ht="20.100000000000001" customHeight="1" x14ac:dyDescent="0.25">
      <c r="A40" s="5" t="str">
        <f>HYPERLINK("#'5.1.1.3-4 Inorganic fert CO2'!A1", "5.1.1.3-4 Inorganic fert CO2")</f>
        <v>5.1.1.3-4 Inorganic fert CO2</v>
      </c>
      <c r="D40" s="119" t="str">
        <v>C_N2O</v>
      </c>
      <c r="E40" s="124" t="str">
        <v>factor to convert elemental mass of N2O to molecular mass</v>
      </c>
      <c r="F40" s="125"/>
      <c r="G40" s="119" t="str">
        <v/>
      </c>
      <c r="H40" s="127" t="str">
        <v>Constant</v>
      </c>
      <c r="I40" s="119">
        <f>Common_InputFunctions.Utility_LookupValueInTableNumber("N2O",Table_GasToMolecularConversionFactor[Gas],Table_GasToMolecularConversionFactor[Conversion factor combined])</f>
        <v>1.5714285714285714</v>
      </c>
      <c r="O40" s="131"/>
      <c r="P40" s="134"/>
      <c r="Q40" s="140"/>
      <c r="R40" s="137"/>
      <c r="S40" s="131"/>
    </row>
    <row r="41" spans="1:19" ht="20.100000000000001" customHeight="1" x14ac:dyDescent="0.25">
      <c r="A41" s="5" t="str">
        <f>HYPERLINK("#'5.2.1.1-2 Organic Fert N2O'!A1", "5.2.1.1-2 Organic fert N2O")</f>
        <v>5.2.1.1-2 Organic fert N2O</v>
      </c>
      <c r="D41" s="119" t="str">
        <v>j</v>
      </c>
      <c r="E41" s="124" t="str">
        <v>production system</v>
      </c>
      <c r="F41" s="125"/>
      <c r="G41" s="119" t="str">
        <v/>
      </c>
      <c r="H41" s="120" t="str">
        <v>Input</v>
      </c>
      <c r="I41" s="119" t="str">
        <f>X_Cell_Dairy_ManureAppliedProductionSystem</f>
        <v>Pasture</v>
      </c>
      <c r="O41" s="131"/>
      <c r="P41" s="134"/>
      <c r="Q41" s="140"/>
      <c r="R41" s="137"/>
      <c r="S41" s="131"/>
    </row>
    <row r="42" spans="1:19" ht="20.100000000000001" customHeight="1" x14ac:dyDescent="0.25">
      <c r="A42" s="5" t="str">
        <f>HYPERLINK("#'5.3.1.1-2 Lime CO2'!A1", "5.3.1.1-2 Lime CO2")</f>
        <v>5.3.1.1-2 Lime CO2</v>
      </c>
      <c r="D42" s="119" t="str">
        <v>ir</v>
      </c>
      <c r="E42" s="124" t="str">
        <v>irrigation method</v>
      </c>
      <c r="F42" s="125"/>
      <c r="G42" s="119" t="str">
        <v/>
      </c>
      <c r="H42" s="120" t="str">
        <v>Input</v>
      </c>
      <c r="I42" s="119" t="str">
        <f>X_Cell_Dairy_ManureAppliedIrrigationMethod</f>
        <v>Sprinkler irrigation</v>
      </c>
      <c r="O42" s="131"/>
      <c r="P42" s="134"/>
      <c r="Q42" s="140"/>
      <c r="R42" s="137"/>
      <c r="S42" s="131"/>
    </row>
    <row r="43" spans="1:19" ht="20.100000000000001" customHeight="1" x14ac:dyDescent="0.25">
      <c r="A43" s="5" t="str">
        <f>HYPERLINK("#'5.4.1.1-4 Atmos deposition'!A1", "5.4.1.1-4 Atmos. deposition")</f>
        <v>5.4.1.1-4 Atmos. deposition</v>
      </c>
      <c r="D43" s="119" t="str">
        <v>r</v>
      </c>
      <c r="E43" s="124" t="str">
        <v>rainfall region</v>
      </c>
      <c r="F43" s="125"/>
      <c r="G43" s="119" t="str">
        <v/>
      </c>
      <c r="H43" s="120" t="str">
        <v>Input</v>
      </c>
      <c r="I43" s="119">
        <f>X_Cell_Site_RainfallZone</f>
        <v>0</v>
      </c>
      <c r="O43" s="131"/>
      <c r="P43" s="134"/>
      <c r="Q43" s="140"/>
      <c r="R43" s="137"/>
      <c r="S43" s="131"/>
    </row>
    <row r="44" spans="1:19" ht="20.100000000000001" customHeight="1" x14ac:dyDescent="0.25">
      <c r="A44" s="5" t="str">
        <f>HYPERLINK("#'5.5.1.1-2 Leaching and runoff'!A1", "5.5.1.1-2 Leaching &amp; runoff")</f>
        <v>5.5.1.1-2 Leaching &amp; runoff</v>
      </c>
    </row>
    <row r="45" spans="1:19" ht="20.100000000000001" customHeight="1" x14ac:dyDescent="0.25">
      <c r="A45" s="5" t="str">
        <f>HYPERLINK("#'6.2.1.1-2 Pasture residue N2O'!A1", "6.2.1.1-2 Pasture residue N2O")</f>
        <v>6.2.1.1-2 Pasture residue N2O</v>
      </c>
      <c r="D45" s="88" t="s">
        <v>566</v>
      </c>
      <c r="E45" s="91" cm="1">
        <f t="array" ref="E45">MMS_Dairy_Soil_AtmosphericDeposition_Equations.VEERG_4_3_1_10__1_AtmosphericDepositionEmissionsFromUrineAndDungOnPasture($I$38,$I$39,$I$40)</f>
        <v>4.6286841560343794E-2</v>
      </c>
      <c r="F45" s="90" t="str">
        <f>$E$36</f>
        <v>t N2O</v>
      </c>
      <c r="O45" s="88" t="s">
        <v>566</v>
      </c>
      <c r="P45" s="91" cm="1">
        <f t="array" ref="P45">MMS_Dairy_Soil_AtmosphericDeposition_Equations.VEERG_4_3_1_10__1_AtmosphericDepositionEmissionsFromUrineAndDungOnPasture($S$38,$I$39,$I$40)</f>
        <v>4.6286841560343794E-2</v>
      </c>
      <c r="Q45" s="90" t="str">
        <f>$E$36</f>
        <v>t N2O</v>
      </c>
    </row>
    <row r="46" spans="1:19" ht="20.100000000000001" customHeight="1" x14ac:dyDescent="0.25">
      <c r="A46" s="5" t="str">
        <f>HYPERLINK("#'6.3.1.1-2 Leach runoff pasture'!A1", "6.3.1.1-2 Leach &amp; runoff (pasture)")</f>
        <v>6.3.1.1-2 Leach &amp; runoff (pasture)</v>
      </c>
    </row>
    <row r="47" spans="1:19" ht="20.100000000000001" customHeight="1" x14ac:dyDescent="0.25">
      <c r="A47" s="5" t="str">
        <f>HYPERLINK("#'8.1.1.1-2 Transport fuel'!A1", "8.1.1.1-2 Transport fuel")</f>
        <v>8.1.1.1-2 Transport fuel</v>
      </c>
      <c r="D47" s="131" t="str" cm="1">
        <f t="array" ref="D47:E48">Common_Equations.Common_ConvertN2OToCO2e_Arguments()</f>
        <v>EN2O</v>
      </c>
      <c r="E47" s="134" t="str">
        <v>Nitrous oxide emissions (t N2O)</v>
      </c>
      <c r="F47" s="135"/>
      <c r="G47" s="15">
        <f>VEERG_4_3_1_10__1_AtmosphericDepositionEmissionsFromUrineAndDungOnPasture_Result_Method1</f>
        <v>4.6286841560343794E-2</v>
      </c>
      <c r="O47" s="131" t="str" cm="1">
        <f t="array" ref="O47:P48">Common_Equations.Common_ConvertN2OToCO2e_Arguments()</f>
        <v>EN2O</v>
      </c>
      <c r="P47" s="134" t="str">
        <v>Nitrous oxide emissions (t N2O)</v>
      </c>
      <c r="Q47" s="135"/>
      <c r="R47" s="15">
        <f>VEERG_4_3_1_10__1_AtmosphericDepositionEmissionsFromUrineAndDungOnPasture_Result_Method2</f>
        <v>4.6286841560343794E-2</v>
      </c>
    </row>
    <row r="48" spans="1:19" ht="20.100000000000001" customHeight="1" x14ac:dyDescent="0.25">
      <c r="A48" s="5" t="str">
        <f>HYPERLINK("#'8.2.1.1-2 Stationary fuel'!A1", "8.2.1.1-2 Stationary fuel")</f>
        <v>8.2.1.1-2 Stationary fuel</v>
      </c>
      <c r="D48" s="131" t="str">
        <v>GWPN2O</v>
      </c>
      <c r="E48" s="134" t="str">
        <v>Global warming potential for nitrous oxide (t CO2-e / t N2O)</v>
      </c>
      <c r="F48" s="135"/>
      <c r="G48" s="15">
        <f>Common_InputFunctions.Utility_LookupValueInTableNumber("N2O",Table_GWPData[Gas],Table_GWPData[CO2-e factor])</f>
        <v>265</v>
      </c>
      <c r="O48" s="131" t="str">
        <v>GWPN2O</v>
      </c>
      <c r="P48" s="134" t="str">
        <v>Global warming potential for nitrous oxide (t CO2-e / t N2O)</v>
      </c>
      <c r="Q48" s="135"/>
      <c r="R48" s="15">
        <f>Common_InputFunctions.Utility_LookupValueInTableNumber("N2O",Table_GWPData[Gas],Table_GWPData[CO2-e factor])</f>
        <v>265</v>
      </c>
    </row>
    <row r="49" spans="1:17" ht="20.100000000000001" customHeight="1" x14ac:dyDescent="0.25">
      <c r="A49" s="5" t="str">
        <f>HYPERLINK("#'10.1.1-2 Solid waste treatment'!A1", "10.1.1.1-2 Solid waste")</f>
        <v>10.1.1.1-2 Solid waste</v>
      </c>
    </row>
    <row r="50" spans="1:17" ht="20.100000000000001" customHeight="1" x14ac:dyDescent="0.25">
      <c r="A50" s="5" t="str">
        <f>HYPERLINK("#'14.1.1-2 Purchased electricity'!A1", "14.1.1-2 Purchased electricity")</f>
        <v>14.1.1-2 Purchased electricity</v>
      </c>
      <c r="D50" s="89" t="s">
        <v>493</v>
      </c>
      <c r="E50" s="89" cm="1">
        <f t="array" ref="E50">Common_Equations.Common_ConvertN2OToCO2e(G47,G48)</f>
        <v>12.266013013491106</v>
      </c>
      <c r="F50" s="94" t="str" cm="1">
        <f t="array" ref="F50">Common_Equations.Common_ConvertN2OToCO2e_Unit()</f>
        <v>t CO2e</v>
      </c>
      <c r="O50" s="89" t="s">
        <v>493</v>
      </c>
      <c r="P50" s="89" cm="1">
        <f t="array" ref="P50">Common_Equations.Common_ConvertN2OToCO2e(R47,R48)</f>
        <v>12.266013013491106</v>
      </c>
      <c r="Q50" s="94" t="str" cm="1">
        <f t="array" ref="Q50">Common_Equations.Common_ConvertN2OToCO2e_Unit()</f>
        <v>t CO2e</v>
      </c>
    </row>
    <row r="51" spans="1:17" ht="20.100000000000001" customHeight="1" x14ac:dyDescent="0.25">
      <c r="A51" s="5" t="str">
        <f>HYPERLINK("#'15 Scope 3'!A1", "15 Scope 3")</f>
        <v>15 Scope 3</v>
      </c>
    </row>
    <row r="52" spans="1:17" ht="20.100000000000001" customHeight="1" x14ac:dyDescent="0.25">
      <c r="A52" s="5" t="str">
        <f>HYPERLINK("#'Calcs - Manure sent off-site'!A1", "Calcs - Manure sent off-site")</f>
        <v>Calcs - Manure sent off-site</v>
      </c>
    </row>
    <row r="53" spans="1:17" ht="20.100000000000001" customHeight="1" x14ac:dyDescent="0.25"/>
    <row r="54" spans="1:17" ht="20.100000000000001" customHeight="1" x14ac:dyDescent="0.25"/>
    <row r="55" spans="1:17" ht="20.100000000000001" customHeight="1" x14ac:dyDescent="0.25">
      <c r="A55" s="83" t="s">
        <v>1</v>
      </c>
    </row>
    <row r="56" spans="1:17" ht="20.100000000000001" customHeight="1" x14ac:dyDescent="0.25">
      <c r="A56" s="5" t="str">
        <f>HYPERLINK("#'Constants - Dairy'!A1", "Constants - Dairy")</f>
        <v>Constants - Dairy</v>
      </c>
    </row>
    <row r="57" spans="1:17" ht="20.100000000000001" customHeight="1" x14ac:dyDescent="0.25">
      <c r="A57" s="5" t="str">
        <f>HYPERLINK("#'Constants - Ag Residue'!A1", "Constants - Ag residue")</f>
        <v>Constants - Ag residue</v>
      </c>
    </row>
    <row r="58" spans="1:17" ht="20.100000000000001" customHeight="1" x14ac:dyDescent="0.25">
      <c r="A58" s="5" t="str">
        <f>HYPERLINK("#'Constants - Common Livestock'!A1", "Constants - Common Livestock")</f>
        <v>Constants - Common Livestock</v>
      </c>
    </row>
    <row r="59" spans="1:17" ht="20.100000000000001" customHeight="1" x14ac:dyDescent="0.25">
      <c r="A59" s="5" t="str">
        <f>HYPERLINK("#'Constants - Electricity'!A1", "Constants - Electricity")</f>
        <v>Constants - Electricity</v>
      </c>
    </row>
    <row r="60" spans="1:17" ht="20.100000000000001" customHeight="1" x14ac:dyDescent="0.25">
      <c r="A60" s="5" t="str">
        <f>HYPERLINK("#'Constants - Fertiliser'!A1", "Constants - Fertiliser")</f>
        <v>Constants - Fertiliser</v>
      </c>
    </row>
    <row r="61" spans="1:17" ht="20.100000000000001" customHeight="1" x14ac:dyDescent="0.25">
      <c r="A61" s="5" t="str">
        <f>HYPERLINK("#'Constants - Fuel'!A1", "Constants - Fuel")</f>
        <v>Constants - Fuel</v>
      </c>
    </row>
    <row r="62" spans="1:17" ht="20.100000000000001" customHeight="1" x14ac:dyDescent="0.25">
      <c r="A62" s="5" t="str">
        <f>HYPERLINK("#'Constants - Scope 3'!A1", "Constants - Scope 3")</f>
        <v>Constants - Scope 3</v>
      </c>
    </row>
    <row r="63" spans="1:17" ht="20.100000000000001" customHeight="1" x14ac:dyDescent="0.25">
      <c r="A63" s="5" t="str">
        <f>HYPERLINK("#'Constants - Common'!A1", "Constants - Common")</f>
        <v>Constants - Common</v>
      </c>
    </row>
    <row r="64" spans="1:17"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19 P19 E24 P24" xr:uid="{2766D67C-E858-4F04-B036-1E8E5CCB1434}"/>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3A00E-DB94-4C3B-9057-3F4A2C3AE3FD}">
  <sheetPr>
    <tabColor rgb="FF008000"/>
  </sheetPr>
  <dimension ref="A1:W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20" customFormat="1" ht="30" customHeight="1" x14ac:dyDescent="0.35">
      <c r="A1" s="10" t="e" vm="1">
        <v>#VALUE!</v>
      </c>
      <c r="C1" s="20" t="s">
        <v>567</v>
      </c>
    </row>
    <row r="2" spans="1:23" s="3" customFormat="1" ht="20.100000000000001" customHeight="1" x14ac:dyDescent="0.25">
      <c r="A2"/>
    </row>
    <row r="3" spans="1:23" ht="20.100000000000001" customHeight="1" x14ac:dyDescent="0.25">
      <c r="A3" s="5" t="str">
        <f>HYPERLINK("#'Home'!A1", "Home")</f>
        <v>Home</v>
      </c>
      <c r="C3" s="22"/>
      <c r="D3" s="22"/>
      <c r="E3" s="22"/>
      <c r="F3" s="22"/>
      <c r="G3" s="22"/>
      <c r="H3" s="22"/>
      <c r="I3" s="22"/>
      <c r="J3" s="22"/>
      <c r="K3" s="22"/>
      <c r="L3" s="22"/>
      <c r="N3" s="22"/>
      <c r="O3" s="22"/>
      <c r="P3" s="22"/>
      <c r="Q3" s="22"/>
      <c r="R3" s="22"/>
      <c r="S3" s="22"/>
      <c r="T3" s="22"/>
      <c r="U3" s="22"/>
      <c r="V3" s="22"/>
      <c r="W3" s="22"/>
    </row>
    <row r="4" spans="1:23" ht="20.100000000000001" customHeight="1" x14ac:dyDescent="0.25">
      <c r="A4" s="5" t="str">
        <f>HYPERLINK("#'Results - Activity period'!A1", "Results - Activity period")</f>
        <v>Results - Activity period</v>
      </c>
    </row>
    <row r="5" spans="1:23" ht="20.100000000000001" customHeight="1" x14ac:dyDescent="0.25">
      <c r="A5" s="5" t="str">
        <f>HYPERLINK("#'Results - Product EI'!A1", "Results - Product Emissions Intensity")</f>
        <v>Results - Product Emissions Intensity</v>
      </c>
      <c r="D5" s="2"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5" t="str">
        <f>HYPERLINK("#'Results'!A1", "Results")</f>
        <v>Results</v>
      </c>
      <c r="D6" s="17" t="str" cm="1">
        <f t="array" ref="D6">MMS_Dairy_Soil_LeachingAndRunoff.VEERG_4_3_1_12__2_MassOfNitrogenLostToLeachingAndRunoffOnPasture_Source()</f>
        <v>VEERG 2026: 4.3.1.12, Equation (2)</v>
      </c>
    </row>
    <row r="7" spans="1:23" ht="20.100000000000001" customHeight="1" x14ac:dyDescent="0.25">
      <c r="D7" s="117" t="s">
        <v>343</v>
      </c>
      <c r="E7" s="117" t="str" cm="1">
        <f t="array" aca="1" ref="E7" ca="1">Common_InputFunctions.Utility_DisplayFunctionName($F$28)</f>
        <v>=MMS_Dairy_Soil_LeachingAndRunoff.VEERG_4_3_1_12__2_MassOfNitrogenLostToLeachingAndRunoffOnPasture</v>
      </c>
    </row>
    <row r="8" spans="1:23" ht="20.100000000000001" customHeight="1" x14ac:dyDescent="0.25">
      <c r="E8" s="1" t="s">
        <v>568</v>
      </c>
    </row>
    <row r="9" spans="1:23" ht="20.100000000000001" customHeight="1" x14ac:dyDescent="0.25">
      <c r="A9" s="7" t="s">
        <v>0</v>
      </c>
    </row>
    <row r="10" spans="1:23" ht="20.100000000000001" customHeight="1" x14ac:dyDescent="0.25">
      <c r="A10" s="5" t="str">
        <f>HYPERLINK("#'Input - Enterprise'!A1", "Enterprise")</f>
        <v>Enterprise</v>
      </c>
      <c r="D10" s="76" t="s">
        <v>344</v>
      </c>
      <c r="E10" s="1" t="str" cm="1">
        <f t="array" ref="E10">MMS_Dairy_Soil_LeachingAndRunoff.VEERG_4_3_1_12__2_MassOfNitrogenLostToLeachingAndRunoffOnPasture_Variable()</f>
        <v>M_leach_m14</v>
      </c>
    </row>
    <row r="11" spans="1:23" ht="20.100000000000001" customHeight="1" x14ac:dyDescent="0.25">
      <c r="A11" s="5" t="str">
        <f>HYPERLINK("#'Input - Site'!A1", "Site")</f>
        <v>Site</v>
      </c>
      <c r="D11" s="76" t="s">
        <v>118</v>
      </c>
      <c r="E11" s="9" t="str" cm="1">
        <f t="array" ref="E11">MMS_Dairy_Soil_LeachingAndRunoff.VEERG_4_3_1_12__2_MassOfNitrogenLostToLeachingAndRunoffOnPasture_Unit()</f>
        <v>kg N</v>
      </c>
    </row>
    <row r="12" spans="1:23" ht="20.100000000000001" customHeight="1" x14ac:dyDescent="0.25">
      <c r="A12" s="5" t="str">
        <f>HYPERLINK("#'Input - Dairy'!A1", "Dairy")</f>
        <v>Dairy</v>
      </c>
    </row>
    <row r="13" spans="1:23" ht="20.100000000000001" customHeight="1" x14ac:dyDescent="0.25">
      <c r="A13" s="5" t="str">
        <f>HYPERLINK("#'Input - Livestock sales'!A1", "Livestock sales")</f>
        <v>Livestock sales</v>
      </c>
      <c r="D13" s="119" t="str" cm="1">
        <f t="array" ref="D13:E18">_xlfn.CHOOSECOLS(MMS_Dairy_Soil_LeachingAndRunoff.VEERG_4_3_1_12__2_MassOfNitrogenLostToLeachingAndRunoffOnPasture_Arguments(),1,2)</f>
        <v>MN_jm14</v>
      </c>
      <c r="E13" s="124" t="str">
        <v>mass of nitrogen excreted on pasture, range and paddock for each dairy class</v>
      </c>
      <c r="F13" s="125"/>
      <c r="G13" s="119" t="str" cm="1">
        <f t="array" ref="G13:H18">_xlfn.CHOOSECOLS(MMS_Dairy_Soil_LeachingAndRunoff.VEERG_4_3_1_12__2_MassOfNitrogenLostToLeachingAndRunoffOnPasture_Arguments(),3,4)</f>
        <v>kg N</v>
      </c>
      <c r="H13" s="127" t="str">
        <v>Calculated from 4.3.1.3 (2)</v>
      </c>
      <c r="I13" s="126" t="str" cm="1">
        <f t="array" aca="1" ref="I13" ca="1">HYPERLINK(Common_InputFunctions.Utility_SourceHyperlink($D$20),$D$20)</f>
        <v>M1_Table_MN_j_m-14</v>
      </c>
    </row>
    <row r="14" spans="1:23" ht="20.100000000000001" customHeight="1" x14ac:dyDescent="0.25">
      <c r="A14" s="5" t="str">
        <f>HYPERLINK("#'Input - Dairy cattle purchases'!A1", "Dairy cattle purchases")</f>
        <v>Dairy cattle purchases</v>
      </c>
      <c r="D14" s="119" t="str">
        <v>FracWet</v>
      </c>
      <c r="E14" s="124" t="str">
        <v>fraction of N available for leaching and runoff</v>
      </c>
      <c r="F14" s="125"/>
      <c r="G14" s="119" t="str">
        <v/>
      </c>
      <c r="H14" s="127" t="str">
        <v>Constant</v>
      </c>
      <c r="I14" s="119">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5">
      <c r="A15" s="5" t="str">
        <f>HYPERLINK("#'Input - Pasture'!A1", "Pasture")</f>
        <v>Pasture</v>
      </c>
      <c r="D15" s="119" t="str">
        <v>FracLEACH</v>
      </c>
      <c r="E15" s="124" t="str">
        <v>fraction of N lost through leaching and runoff</v>
      </c>
      <c r="F15" s="125"/>
      <c r="G15" s="119" t="str">
        <v/>
      </c>
      <c r="H15" s="127" t="str">
        <v>Constant</v>
      </c>
      <c r="I15" s="119">
        <f>SourceData_Dairy_FractionOfNitrogenLostThroughLeachingAndRunoff_Data</f>
        <v>0.24</v>
      </c>
    </row>
    <row r="16" spans="1:23" ht="20.100000000000001" customHeight="1" x14ac:dyDescent="0.25">
      <c r="A16" s="5" t="str">
        <f>HYPERLINK("#'Input - Fert Prod System'!A1", "Fert Prod System")</f>
        <v>Fert Prod System</v>
      </c>
      <c r="D16" s="119" t="str">
        <v>z</v>
      </c>
      <c r="E16" s="124" t="str">
        <v>location in leaching zone</v>
      </c>
      <c r="F16" s="125"/>
      <c r="G16" s="119" t="str">
        <v/>
      </c>
      <c r="H16" s="120" t="str">
        <v>Input</v>
      </c>
      <c r="I16" s="119">
        <f>X_Cell_Site_LeachingZone</f>
        <v>0</v>
      </c>
    </row>
    <row r="17" spans="1:22" ht="20.100000000000001" customHeight="1" x14ac:dyDescent="0.25">
      <c r="A17" s="5" t="str">
        <f>HYPERLINK("#'Input - Fertiliser'!A1", "Fertiliser")</f>
        <v>Fertiliser</v>
      </c>
      <c r="D17" s="119" t="str">
        <v>j</v>
      </c>
      <c r="E17" s="124" t="str">
        <v>production system</v>
      </c>
      <c r="F17" s="125"/>
      <c r="G17" s="119" t="str">
        <v/>
      </c>
      <c r="H17" s="120" t="str">
        <v>Input</v>
      </c>
      <c r="I17" s="119" t="str">
        <f>X_Cell_Dairy_ManureAppliedProductionSystem</f>
        <v>Pasture</v>
      </c>
    </row>
    <row r="18" spans="1:22" ht="20.100000000000001" customHeight="1" x14ac:dyDescent="0.25">
      <c r="A18" s="5" t="str">
        <f>HYPERLINK("#'Input - Fuel'!A1", "Fuel")</f>
        <v>Fuel</v>
      </c>
      <c r="D18" s="119" t="str">
        <v>ir</v>
      </c>
      <c r="E18" s="124" t="str">
        <v>irrigation method</v>
      </c>
      <c r="F18" s="125"/>
      <c r="G18" s="119" t="str">
        <v/>
      </c>
      <c r="H18" s="120" t="str">
        <v>Input</v>
      </c>
      <c r="I18" s="119" t="str">
        <f>X_Cell_Dairy_ManureAppliedIrrigationMethod</f>
        <v>Sprinkler irrigation</v>
      </c>
    </row>
    <row r="19" spans="1:22" ht="20.100000000000001" customHeight="1" x14ac:dyDescent="0.25">
      <c r="A19" s="5" t="str">
        <f>HYPERLINK("#'Input - Electricity'!A1", "Electricity")</f>
        <v>Electricity</v>
      </c>
    </row>
    <row r="20" spans="1:22" ht="20.100000000000001" customHeight="1" x14ac:dyDescent="0.25">
      <c r="A20" s="5" t="str">
        <f>HYPERLINK("#'Input - Common farm inputs'!A1", "Common farm inputs")</f>
        <v>Common farm inputs</v>
      </c>
      <c r="D20" s="121" t="s">
        <v>553</v>
      </c>
      <c r="M20" s="97"/>
      <c r="O20" s="121" t="s">
        <v>554</v>
      </c>
    </row>
    <row r="21" spans="1:22" ht="20.100000000000001" customHeight="1" x14ac:dyDescent="0.25">
      <c r="A21" s="5" t="str">
        <f>HYPERLINK("#'Input - Crop pasture farm input'!A1", "Crop pasture farm input")</f>
        <v>Crop pasture farm input</v>
      </c>
      <c r="D21" s="122" t="s">
        <v>555</v>
      </c>
      <c r="M21" s="97"/>
      <c r="O21" s="122" t="s">
        <v>556</v>
      </c>
    </row>
    <row r="22" spans="1:22" ht="20.100000000000001" customHeight="1" x14ac:dyDescent="0.25">
      <c r="A22" s="5" t="str">
        <f>HYPERLINK("#'Input - Livestock farm Inputs'!A1", "Livestock farm Inputs")</f>
        <v>Livestock farm Inputs</v>
      </c>
      <c r="D22" s="123" t="s">
        <v>161</v>
      </c>
      <c r="E22" s="123" t="s">
        <v>388</v>
      </c>
      <c r="F22" s="123" t="s">
        <v>295</v>
      </c>
      <c r="G22" s="123" t="s">
        <v>296</v>
      </c>
      <c r="H22" s="123" t="s">
        <v>297</v>
      </c>
      <c r="I22" s="123" t="s">
        <v>298</v>
      </c>
      <c r="J22" s="123" t="s">
        <v>299</v>
      </c>
      <c r="M22" s="97"/>
      <c r="O22" s="123" t="s">
        <v>161</v>
      </c>
      <c r="P22" s="123" t="s">
        <v>388</v>
      </c>
      <c r="Q22" s="123" t="s">
        <v>295</v>
      </c>
      <c r="R22" s="123" t="s">
        <v>296</v>
      </c>
      <c r="S22" s="123" t="s">
        <v>297</v>
      </c>
      <c r="T22" s="123" t="s">
        <v>298</v>
      </c>
      <c r="U22" s="123" t="s">
        <v>299</v>
      </c>
    </row>
    <row r="23" spans="1:22" ht="20.100000000000001" customHeight="1" x14ac:dyDescent="0.25">
      <c r="A23" s="5" t="str">
        <f>HYPERLINK("#'Input - Freight'!A1", "Freight")</f>
        <v>Freight</v>
      </c>
      <c r="D23" s="15" t="str">
        <f>INDEX(X_Table_Dairy_ProductionSystems_Method1,2,1)</f>
        <v>Pasture</v>
      </c>
      <c r="E23" s="15" t="str">
        <f>'Constants - Common Livestock'!$E$27</f>
        <v>Pasture range and paddock</v>
      </c>
      <c r="F23" s="15">
        <f>INDEX(M1_Table_MN_j_m14,2,3)</f>
        <v>9690.7906525703293</v>
      </c>
      <c r="G23" s="15">
        <f>INDEX(M1_Table_MN_j_m14,2,4)</f>
        <v>4426.3236377252861</v>
      </c>
      <c r="H23" s="15">
        <f>INDEX(M1_Table_MN_j_m14,2,5)</f>
        <v>1762.9578946423812</v>
      </c>
      <c r="I23" s="15">
        <f>INDEX(M1_Table_MN_j_m14,2,6)</f>
        <v>5564.0638693222609</v>
      </c>
      <c r="J23" s="15">
        <f>INDEX(M1_Table_MN_j_m14,2,7)</f>
        <v>2329.2802581916176</v>
      </c>
      <c r="K23" s="16" t="str">
        <f>$E$11</f>
        <v>kg N</v>
      </c>
      <c r="M23" s="97"/>
      <c r="O23" s="15" t="str">
        <f>INDEX(X_Table_Dairy_ProductionSystems_Method1,2,1)</f>
        <v>Pasture</v>
      </c>
      <c r="P23" s="15" t="str">
        <f>'Constants - Common Livestock'!$E$27</f>
        <v>Pasture range and paddock</v>
      </c>
      <c r="Q23" s="15">
        <f>INDEX(M2_Table_MN_j_m14,2,3)</f>
        <v>9690.7906525703293</v>
      </c>
      <c r="R23" s="15">
        <f>INDEX(M2_Table_MN_j_m14,2,4)</f>
        <v>4426.3236377252861</v>
      </c>
      <c r="S23" s="15">
        <f>INDEX(M2_Table_MN_j_m14,2,5)</f>
        <v>1762.9578946423812</v>
      </c>
      <c r="T23" s="15">
        <f>INDEX(M2_Table_MN_j_m14,2,6)</f>
        <v>5564.0638693222609</v>
      </c>
      <c r="U23" s="15">
        <f>INDEX(M2_Table_MN_j_m14,2,7)</f>
        <v>2329.2802581916176</v>
      </c>
      <c r="V23" s="16" t="str">
        <f>$E$11</f>
        <v>kg N</v>
      </c>
    </row>
    <row r="24" spans="1:22" ht="20.100000000000001" customHeight="1" x14ac:dyDescent="0.25">
      <c r="A24" s="5" t="str">
        <f>HYPERLINK("#'Input - Solid waste'!A1", "Solid waste")</f>
        <v>Solid waste</v>
      </c>
    </row>
    <row r="25" spans="1:22" ht="20.100000000000001" customHeight="1" x14ac:dyDescent="0.25">
      <c r="A25" s="5" t="str">
        <f>HYPERLINK("#'Input - Manure sent off-site'!A1", "Manure sent off-site")</f>
        <v>Manure sent off-site</v>
      </c>
      <c r="D25" s="121" t="s">
        <v>569</v>
      </c>
      <c r="O25" s="121" t="s">
        <v>570</v>
      </c>
    </row>
    <row r="26" spans="1:22" ht="20.100000000000001" customHeight="1" x14ac:dyDescent="0.25">
      <c r="A26" s="5" t="str">
        <f>HYPERLINK("#'Input - Data quality'!A1", "Data quality")</f>
        <v>Data quality</v>
      </c>
      <c r="D26" s="122" t="s">
        <v>571</v>
      </c>
      <c r="O26" s="122" t="s">
        <v>572</v>
      </c>
    </row>
    <row r="27" spans="1:22" ht="20.100000000000001" customHeight="1" x14ac:dyDescent="0.25">
      <c r="D27" s="123" t="s">
        <v>161</v>
      </c>
      <c r="E27" s="123" t="s">
        <v>388</v>
      </c>
      <c r="F27" s="123" t="s">
        <v>295</v>
      </c>
      <c r="G27" s="123" t="s">
        <v>296</v>
      </c>
      <c r="H27" s="123" t="s">
        <v>297</v>
      </c>
      <c r="I27" s="123" t="s">
        <v>298</v>
      </c>
      <c r="J27" s="123" t="s">
        <v>299</v>
      </c>
      <c r="O27" s="123" t="s">
        <v>161</v>
      </c>
      <c r="P27" s="123" t="s">
        <v>388</v>
      </c>
      <c r="Q27" s="123" t="s">
        <v>295</v>
      </c>
      <c r="R27" s="123" t="s">
        <v>296</v>
      </c>
      <c r="S27" s="123" t="s">
        <v>297</v>
      </c>
      <c r="T27" s="123" t="s">
        <v>298</v>
      </c>
      <c r="U27" s="123" t="s">
        <v>299</v>
      </c>
    </row>
    <row r="28" spans="1:22" ht="20.100000000000001" customHeight="1" x14ac:dyDescent="0.25">
      <c r="D28" s="15" t="str">
        <f>INDEX(X_Table_Dairy_ProductionSystems_Method1,2,1)</f>
        <v>Pasture</v>
      </c>
      <c r="E28" s="15" t="str">
        <f>'Constants - Common Livestock'!$E$27</f>
        <v>Pasture range and paddock</v>
      </c>
      <c r="F28" s="15" cm="1">
        <f t="array" ref="F28">MMS_Dairy_Soil_LeachingAndRunoff.VEERG_4_3_1_12__2_MassOfNitrogenLostToLeachingAndRunoffOnPasture(F23,$I$14,$I$15)</f>
        <v>2325.789756616879</v>
      </c>
      <c r="G28" s="15" cm="1">
        <f t="array" ref="G28">MMS_Dairy_Soil_LeachingAndRunoff.VEERG_4_3_1_12__2_MassOfNitrogenLostToLeachingAndRunoffOnPasture(G23,$I$14,$I$15)</f>
        <v>1062.3176730540686</v>
      </c>
      <c r="H28" s="15" cm="1">
        <f t="array" ref="H28">MMS_Dairy_Soil_LeachingAndRunoff.VEERG_4_3_1_12__2_MassOfNitrogenLostToLeachingAndRunoffOnPasture(H23,$I$14,$I$15)</f>
        <v>423.1098947141715</v>
      </c>
      <c r="I28" s="15" cm="1">
        <f t="array" ref="I28">MMS_Dairy_Soil_LeachingAndRunoff.VEERG_4_3_1_12__2_MassOfNitrogenLostToLeachingAndRunoffOnPasture(I23,$I$14,$I$15)</f>
        <v>1335.3753286373426</v>
      </c>
      <c r="J28" s="15" cm="1">
        <f t="array" ref="J28">MMS_Dairy_Soil_LeachingAndRunoff.VEERG_4_3_1_12__2_MassOfNitrogenLostToLeachingAndRunoffOnPasture(J23,$I$14,$I$15)</f>
        <v>559.02726196598815</v>
      </c>
      <c r="K28" s="16" t="str">
        <f>$E$11</f>
        <v>kg N</v>
      </c>
      <c r="O28" s="15" t="str">
        <f>INDEX(X_Table_Dairy_ProductionSystems_Method1,2,1)</f>
        <v>Pasture</v>
      </c>
      <c r="P28" s="15" t="str">
        <f>'Constants - Common Livestock'!$E$27</f>
        <v>Pasture range and paddock</v>
      </c>
      <c r="Q28" s="15" cm="1">
        <f t="array" ref="Q28">MMS_Dairy_Soil_LeachingAndRunoff.VEERG_4_3_1_12__2_MassOfNitrogenLostToLeachingAndRunoffOnPasture(Q23,$I$14,$I$15)</f>
        <v>2325.789756616879</v>
      </c>
      <c r="R28" s="15" cm="1">
        <f t="array" ref="R28">MMS_Dairy_Soil_LeachingAndRunoff.VEERG_4_3_1_12__2_MassOfNitrogenLostToLeachingAndRunoffOnPasture(R23,$I$14,$I$15)</f>
        <v>1062.3176730540686</v>
      </c>
      <c r="S28" s="15" cm="1">
        <f t="array" ref="S28">MMS_Dairy_Soil_LeachingAndRunoff.VEERG_4_3_1_12__2_MassOfNitrogenLostToLeachingAndRunoffOnPasture(S23,$I$14,$I$15)</f>
        <v>423.1098947141715</v>
      </c>
      <c r="T28" s="15" cm="1">
        <f t="array" ref="T28">MMS_Dairy_Soil_LeachingAndRunoff.VEERG_4_3_1_12__2_MassOfNitrogenLostToLeachingAndRunoffOnPasture(T23,$I$14,$I$15)</f>
        <v>1335.3753286373426</v>
      </c>
      <c r="U28" s="15" cm="1">
        <f t="array" ref="U28">MMS_Dairy_Soil_LeachingAndRunoff.VEERG_4_3_1_12__2_MassOfNitrogenLostToLeachingAndRunoffOnPasture(U23,$I$14,$I$15)</f>
        <v>559.02726196598815</v>
      </c>
      <c r="V28" s="16" t="str">
        <f>$E$11</f>
        <v>kg N</v>
      </c>
    </row>
    <row r="29" spans="1:22" ht="20.100000000000001" customHeight="1" x14ac:dyDescent="0.25">
      <c r="A29" s="6" t="s">
        <v>2</v>
      </c>
    </row>
    <row r="30" spans="1:22" ht="20.100000000000001" customHeight="1" x14ac:dyDescent="0.25">
      <c r="A30" s="5" t="str">
        <f>HYPERLINK("#'3.3.1.1-2 Enteric Methane'!A1", "3.3.1.1-2 Enteric methane")</f>
        <v>3.3.1.1-2 Enteric methane</v>
      </c>
      <c r="D30" s="93" t="s">
        <v>573</v>
      </c>
      <c r="E30" s="89">
        <f>SUM(F28:J28)</f>
        <v>5705.6199149884496</v>
      </c>
      <c r="F30" s="94" t="str">
        <f>$E$11</f>
        <v>kg N</v>
      </c>
      <c r="O30" s="93" t="s">
        <v>573</v>
      </c>
      <c r="P30" s="89">
        <f>SUM(Q28:U28)</f>
        <v>5705.6199149884496</v>
      </c>
      <c r="Q30" s="94" t="str">
        <f>$E$11</f>
        <v>kg N</v>
      </c>
    </row>
    <row r="31" spans="1:22" ht="20.100000000000001" customHeight="1" x14ac:dyDescent="0.25">
      <c r="A31" s="5" t="str">
        <f>HYPERLINK("#'4.3.1.1-2 Methane'!A1", "4.3.1.1-2 Manure methane")</f>
        <v>4.3.1.1-2 Manure methane</v>
      </c>
    </row>
    <row r="32" spans="1:22" ht="20.100000000000001" customHeight="1" x14ac:dyDescent="0.25">
      <c r="A32" s="5" t="str">
        <f>HYPERLINK("#'4.3.1.3-4 Direct N20'!A1", "4.3.1.3-4 Direct N20")</f>
        <v>4.3.1.3-4 Direct N20</v>
      </c>
    </row>
    <row r="33" spans="1:23" ht="20.100000000000001" customHeight="1" x14ac:dyDescent="0.25">
      <c r="A33" s="5" t="str">
        <f>HYPERLINK("#'4.3.1.5 Atmos deposition'!A1", "4.3.1.5 Atmos deposition")</f>
        <v>4.3.1.5 Atmos deposition</v>
      </c>
    </row>
    <row r="34" spans="1:23" ht="20.100000000000001" customHeight="1" x14ac:dyDescent="0.25">
      <c r="A34" s="5" t="str">
        <f>HYPERLINK("#'4.3.1.6-7 Leaching and runoff'!A1", "4.3.1.6-7 Leaching &amp; runoff")</f>
        <v>4.3.1.6-7 Leaching &amp; runoff</v>
      </c>
      <c r="C34" s="89"/>
      <c r="D34" s="89"/>
      <c r="E34" s="89"/>
      <c r="F34" s="89"/>
      <c r="G34" s="89"/>
      <c r="H34" s="89"/>
      <c r="I34" s="89"/>
      <c r="J34" s="89"/>
      <c r="K34" s="89"/>
      <c r="L34" s="89"/>
      <c r="N34" s="89"/>
      <c r="O34" s="89"/>
      <c r="P34" s="89"/>
      <c r="Q34" s="89"/>
      <c r="R34" s="89"/>
      <c r="S34" s="89"/>
      <c r="T34" s="89"/>
      <c r="U34" s="89"/>
      <c r="V34" s="89"/>
      <c r="W34" s="89"/>
    </row>
    <row r="35" spans="1:23" ht="20.100000000000001" customHeight="1" x14ac:dyDescent="0.25">
      <c r="A35" s="5" t="str">
        <f>HYPERLINK("#'4.3.1.8 Manure applied to soils'!A1", "4.3.1.8 Manure applied to soils")</f>
        <v>4.3.1.8 Manure applied to soils</v>
      </c>
      <c r="D35" s="2" t="str" cm="1">
        <f t="array" ref="D35">MMS_Dairy_Soil_LeachingAndRunoff.VEERG_4_3_1_12__1_LeachingAndRunoffEmissionsFromUrineAndDungOnPasture_Title()</f>
        <v>Leaching and runoff emissions from urine and dung deposited on pasture</v>
      </c>
    </row>
    <row r="36" spans="1:23" ht="20.100000000000001" customHeight="1" x14ac:dyDescent="0.25">
      <c r="A36" s="5" t="str">
        <f>HYPERLINK("#'4.3.1.9 Soil direct N2O'!A1", "4.3.1.9 Soil direct N2O")</f>
        <v>4.3.1.9 Soil direct N2O</v>
      </c>
      <c r="D36" s="17" t="str" cm="1">
        <f t="array" ref="D36">MMS_Dairy_Soil_LeachingAndRunoff.VEERG_4_3_1_12__1_LeachingAndRunoffEmissionsFromUrineAndDungOnPasture_Source()</f>
        <v>VEERG 2026: 4.3.1.12, Equation (1)</v>
      </c>
    </row>
    <row r="37" spans="1:23" ht="20.100000000000001" customHeight="1" x14ac:dyDescent="0.25">
      <c r="A37" s="5" t="str">
        <f>HYPERLINK("#'4.3.1.10-11 Soil Atmos Dep'!A1", "4.3.1.10-11 Soil Atmos Deposition")</f>
        <v>4.3.1.10-11 Soil Atmos Deposition</v>
      </c>
      <c r="D37" s="117" t="s">
        <v>343</v>
      </c>
      <c r="E37" s="117" t="str">
        <f ca="1">Common_InputFunctions.Utility_DisplayFunctionName(VEERG_4_3_1_12__1_LeachingAndRunoffEmissionsFromUrineAndDungOnPasture_Result_Method1)</f>
        <v>=MMS_Dairy_Soil_LeachingAndRunoff.VEERG_4_3_1_12__1_LeachingAndRunoffEmissionsFromUrineAndDungOnPasture</v>
      </c>
    </row>
    <row r="38" spans="1:23" ht="20.100000000000001" customHeight="1" x14ac:dyDescent="0.25">
      <c r="A38" s="118" t="str">
        <f>HYPERLINK("#'4.3.1.12-13 Soil leach runoff'!A1", "4.3.1.12-13 Soil leach &amp; runoff")</f>
        <v>4.3.1.12-13 Soil leach &amp; runoff</v>
      </c>
    </row>
    <row r="39" spans="1:23" ht="20.100000000000001" customHeight="1" x14ac:dyDescent="0.25">
      <c r="A39" s="5" t="str">
        <f>HYPERLINK("#'5.1.1.1-2 Inorganic fert N2O'!A1", "5.1.1.1-2 Inorganic fert N2O")</f>
        <v>5.1.1.1-2 Inorganic fert N2O</v>
      </c>
    </row>
    <row r="40" spans="1:23" ht="20.100000000000001" customHeight="1" x14ac:dyDescent="0.25">
      <c r="A40" s="5" t="str">
        <f>HYPERLINK("#'5.1.1.3-4 Inorganic fert CO2'!A1", "5.1.1.3-4 Inorganic fert CO2")</f>
        <v>5.1.1.3-4 Inorganic fert CO2</v>
      </c>
      <c r="D40" s="76" t="s">
        <v>344</v>
      </c>
      <c r="E40" s="1" t="str" cm="1">
        <f t="array" ref="E40">MMS_Dairy_Soil_LeachingAndRunoff.VEERG_4_3_1_12__1_LeachingAndRunoffEmissionsFromUrineAndDungOnPasture_Variable()</f>
        <v>E_N2Oleach</v>
      </c>
    </row>
    <row r="41" spans="1:23" ht="20.100000000000001" customHeight="1" x14ac:dyDescent="0.25">
      <c r="A41" s="5" t="str">
        <f>HYPERLINK("#'5.2.1.1-2 Organic Fert N2O'!A1", "5.2.1.1-2 Organic fert N2O")</f>
        <v>5.2.1.1-2 Organic fert N2O</v>
      </c>
      <c r="D41" s="76" t="s">
        <v>118</v>
      </c>
      <c r="E41" s="9" t="str" cm="1">
        <f t="array" ref="E41">MMS_Dairy_Soil_LeachingAndRunoff.VEERG_4_3_1_12__1_LeachingAndRunoffEmissionsFromUrineAndDungOnPasture_Unit()</f>
        <v>t N2O</v>
      </c>
    </row>
    <row r="42" spans="1:23" ht="20.100000000000001" customHeight="1" x14ac:dyDescent="0.25">
      <c r="A42" s="5" t="str">
        <f>HYPERLINK("#'5.3.1.1-2 Lime CO2'!A1", "5.3.1.1-2 Lime CO2")</f>
        <v>5.3.1.1-2 Lime CO2</v>
      </c>
    </row>
    <row r="43" spans="1:23" ht="20.100000000000001" customHeight="1" x14ac:dyDescent="0.25">
      <c r="A43" s="5" t="str">
        <f>HYPERLINK("#'5.4.1.1-4 Atmos deposition'!A1", "5.4.1.1-4 Atmos. deposition")</f>
        <v>5.4.1.1-4 Atmos. deposition</v>
      </c>
      <c r="D43" s="119" t="str" cm="1">
        <f t="array" ref="D43:E45">_xlfn.CHOOSECOLS(MMS_Dairy_Soil_LeachingAndRunoff.VEERG_4_3_1_12__1_LeachingAndRunoffEmissionsFromUrineAndDungOnPasture_Arguments(),1,2)</f>
        <v>M_leach_m14</v>
      </c>
      <c r="E43" s="119" t="str">
        <v>mass of nitrogen lost to leaching and runoff from urine and faeces deposited on pasture</v>
      </c>
      <c r="F43" s="124"/>
      <c r="G43" s="125"/>
      <c r="H43" s="119" t="str" cm="1">
        <f t="array" ref="H43:I45">_xlfn.CHOOSECOLS(MMS_Dairy_Soil_LeachingAndRunoff.VEERG_4_3_1_12__1_LeachingAndRunoffEmissionsFromUrineAndDungOnPasture_Arguments(),3,4)</f>
        <v>kg N</v>
      </c>
      <c r="I43" s="127" t="str">
        <v>Calculated from 4.3.1.12 (2)</v>
      </c>
      <c r="J43" s="119">
        <f>$E$30</f>
        <v>5705.6199149884496</v>
      </c>
      <c r="O43" s="119" t="str" cm="1">
        <f t="array" ref="O43:P45">_xlfn.CHOOSECOLS(MMS_Dairy_Soil_LeachingAndRunoff.VEERG_4_3_1_12__1_LeachingAndRunoffEmissionsFromUrineAndDungOnPasture_Arguments(),1,2)</f>
        <v>M_leach_m14</v>
      </c>
      <c r="P43" s="119" t="str">
        <v>mass of nitrogen lost to leaching and runoff from urine and faeces deposited on pasture</v>
      </c>
      <c r="Q43" s="124"/>
      <c r="R43" s="125"/>
      <c r="S43" s="119" t="str" cm="1">
        <f t="array" ref="S43:T45">_xlfn.CHOOSECOLS(MMS_Dairy_Soil_LeachingAndRunoff.VEERG_4_3_1_12__1_LeachingAndRunoffEmissionsFromUrineAndDungOnPasture_Arguments(),3,4)</f>
        <v>kg N</v>
      </c>
      <c r="T43" s="127" t="str">
        <v>Calculated from 4.3.1.12 (2)</v>
      </c>
      <c r="U43" s="131">
        <f>$P$30</f>
        <v>5705.6199149884496</v>
      </c>
    </row>
    <row r="44" spans="1:23" ht="20.100000000000001" customHeight="1" x14ac:dyDescent="0.25">
      <c r="A44" s="5" t="str">
        <f>HYPERLINK("#'5.5.1.1-2 Leaching and runoff'!A1", "5.5.1.1-2 Leaching &amp; runoff")</f>
        <v>5.5.1.1-2 Leaching &amp; runoff</v>
      </c>
      <c r="D44" s="119" t="str">
        <v>EF_leach</v>
      </c>
      <c r="E44" s="119" t="str">
        <v>nitrous oxide emission factor for leaching and runoff</v>
      </c>
      <c r="F44" s="124"/>
      <c r="G44" s="125"/>
      <c r="H44" s="119" t="str">
        <v>kg N2O-N/kg N</v>
      </c>
      <c r="I44" s="127" t="str">
        <v>Constant</v>
      </c>
      <c r="J44" s="119">
        <f>SourceData_Dairy_EmissionFactorForLeachingAndRunoff_Data</f>
        <v>1.0999999999999999E-2</v>
      </c>
      <c r="O44" s="119" t="str">
        <v>EF_leach</v>
      </c>
      <c r="P44" s="119" t="str">
        <v>nitrous oxide emission factor for leaching and runoff</v>
      </c>
      <c r="Q44" s="124"/>
      <c r="R44" s="125"/>
      <c r="S44" s="119" t="str">
        <v>kg N2O-N/kg N</v>
      </c>
      <c r="T44" s="127" t="str">
        <v>Constant</v>
      </c>
      <c r="U44" s="131"/>
    </row>
    <row r="45" spans="1:23" ht="20.100000000000001" customHeight="1" x14ac:dyDescent="0.25">
      <c r="A45" s="5" t="str">
        <f>HYPERLINK("#'6.2.1.1-2 Pasture residue N2O'!A1", "6.2.1.1-2 Pasture residue N2O")</f>
        <v>6.2.1.1-2 Pasture residue N2O</v>
      </c>
      <c r="D45" s="119" t="str">
        <v>C_N2O</v>
      </c>
      <c r="E45" s="119" t="str">
        <v>factor to convert elemental mass of N2O to molecular mass</v>
      </c>
      <c r="F45" s="124"/>
      <c r="G45" s="125"/>
      <c r="H45" s="119" t="str">
        <v/>
      </c>
      <c r="I45" s="127" t="str">
        <v>Constant</v>
      </c>
      <c r="J45" s="119">
        <f>Common_InputFunctions.Utility_LookupValueInTableNumber("N2O",Table_GasToMolecularConversionFactor[Gas],Table_GasToMolecularConversionFactor[Conversion factor combined])</f>
        <v>1.5714285714285714</v>
      </c>
      <c r="O45" s="119" t="str">
        <v>C_N2O</v>
      </c>
      <c r="P45" s="119" t="str">
        <v>factor to convert elemental mass of N2O to molecular mass</v>
      </c>
      <c r="Q45" s="124"/>
      <c r="R45" s="125"/>
      <c r="S45" s="119" t="str">
        <v/>
      </c>
      <c r="T45" s="127" t="str">
        <v>Constant</v>
      </c>
      <c r="U45" s="131"/>
    </row>
    <row r="46" spans="1:23" ht="20.100000000000001" customHeight="1" x14ac:dyDescent="0.25">
      <c r="A46" s="5" t="str">
        <f>HYPERLINK("#'6.3.1.1-2 Leach runoff pasture'!A1", "6.3.1.1-2 Leach &amp; runoff (pasture)")</f>
        <v>6.3.1.1-2 Leach &amp; runoff (pasture)</v>
      </c>
    </row>
    <row r="47" spans="1:23" ht="20.100000000000001" customHeight="1" x14ac:dyDescent="0.25">
      <c r="A47" s="5" t="str">
        <f>HYPERLINK("#'8.1.1.1-2 Transport fuel'!A1", "8.1.1.1-2 Transport fuel")</f>
        <v>8.1.1.1-2 Transport fuel</v>
      </c>
      <c r="D47" s="88" t="s">
        <v>574</v>
      </c>
      <c r="E47" s="91" cm="1">
        <f t="array" ref="E47">MMS_Dairy_Soil_LeachingAndRunoff.VEERG_4_3_1_12__1_LeachingAndRunoffEmissionsFromUrineAndDungOnPasture($J$43,$J$44,$J$45)</f>
        <v>9.8625715673371778E-2</v>
      </c>
      <c r="F47" s="90" t="str">
        <f>$E$41</f>
        <v>t N2O</v>
      </c>
      <c r="O47" s="88" t="s">
        <v>574</v>
      </c>
      <c r="P47" s="91" cm="1">
        <f t="array" ref="P47">MMS_Dairy_Soil_LeachingAndRunoff.VEERG_4_3_1_12__1_LeachingAndRunoffEmissionsFromUrineAndDungOnPasture($U$43,$J$44,$J$45)</f>
        <v>9.8625715673371778E-2</v>
      </c>
      <c r="Q47" s="90" t="str">
        <f>$E$41</f>
        <v>t N2O</v>
      </c>
    </row>
    <row r="48" spans="1:23" ht="20.100000000000001" customHeight="1" x14ac:dyDescent="0.25">
      <c r="A48" s="5" t="str">
        <f>HYPERLINK("#'8.2.1.1-2 Stationary fuel'!A1", "8.2.1.1-2 Stationary fuel")</f>
        <v>8.2.1.1-2 Stationary fuel</v>
      </c>
    </row>
    <row r="49" spans="1:18" ht="20.100000000000001" customHeight="1" x14ac:dyDescent="0.25">
      <c r="A49" s="5" t="str">
        <f>HYPERLINK("#'10.1.1-2 Solid waste treatment'!A1", "10.1.1.1-2 Solid waste")</f>
        <v>10.1.1.1-2 Solid waste</v>
      </c>
      <c r="D49" s="131" t="str" cm="1">
        <f t="array" ref="D49:E50">Common_Equations.Common_ConvertN2OToCO2e_Arguments()</f>
        <v>EN2O</v>
      </c>
      <c r="E49" s="134" t="str">
        <v>Nitrous oxide emissions (t N2O)</v>
      </c>
      <c r="F49" s="135"/>
      <c r="G49" s="15">
        <f>VEERG_4_3_1_12__1_LeachingAndRunoffEmissionsFromUrineAndDungOnPasture_Result_Method1</f>
        <v>9.8625715673371778E-2</v>
      </c>
      <c r="O49" s="131" t="str" cm="1">
        <f t="array" ref="O49:P50">Common_Equations.Common_ConvertN2OToCO2e_Arguments()</f>
        <v>EN2O</v>
      </c>
      <c r="P49" s="134" t="str">
        <v>Nitrous oxide emissions (t N2O)</v>
      </c>
      <c r="Q49" s="135"/>
      <c r="R49" s="15">
        <f>VEERG_4_3_1_12__1_LeachingAndRunoffEmissionsFromUrineAndDungOnPasture_Result_Method2</f>
        <v>9.8625715673371778E-2</v>
      </c>
    </row>
    <row r="50" spans="1:18" ht="20.100000000000001" customHeight="1" x14ac:dyDescent="0.25">
      <c r="A50" s="5" t="str">
        <f>HYPERLINK("#'14.1.1-2 Purchased electricity'!A1", "14.1.1-2 Purchased electricity")</f>
        <v>14.1.1-2 Purchased electricity</v>
      </c>
      <c r="D50" s="131" t="str">
        <v>GWPN2O</v>
      </c>
      <c r="E50" s="134" t="str">
        <v>Global warming potential for nitrous oxide (t CO2-e / t N2O)</v>
      </c>
      <c r="F50" s="135"/>
      <c r="G50" s="15">
        <f>Common_InputFunctions.Utility_LookupValueInTableNumber("N2O",Table_GWPData[Gas],Table_GWPData[CO2-e factor])</f>
        <v>265</v>
      </c>
      <c r="O50" s="131" t="str">
        <v>GWPN2O</v>
      </c>
      <c r="P50" s="134" t="str">
        <v>Global warming potential for nitrous oxide (t CO2-e / t N2O)</v>
      </c>
      <c r="Q50" s="135"/>
      <c r="R50" s="15">
        <f>Common_InputFunctions.Utility_LookupValueInTableNumber("N2O",Table_GWPData[Gas],Table_GWPData[CO2-e factor])</f>
        <v>265</v>
      </c>
    </row>
    <row r="51" spans="1:18" ht="20.100000000000001" customHeight="1" x14ac:dyDescent="0.25">
      <c r="A51" s="5" t="str">
        <f>HYPERLINK("#'15 Scope 3'!A1", "15 Scope 3")</f>
        <v>15 Scope 3</v>
      </c>
    </row>
    <row r="52" spans="1:18" ht="20.100000000000001" customHeight="1" x14ac:dyDescent="0.25">
      <c r="A52" s="5" t="str">
        <f>HYPERLINK("#'Calcs - Manure sent off-site'!A1", "Calcs - Manure sent off-site")</f>
        <v>Calcs - Manure sent off-site</v>
      </c>
      <c r="D52" s="89" t="s">
        <v>493</v>
      </c>
      <c r="E52" s="89" cm="1">
        <f t="array" ref="E52">Common_Equations.Common_ConvertN2OToCO2e(G49,G50)</f>
        <v>26.135814653443521</v>
      </c>
      <c r="F52" s="94" t="str" cm="1">
        <f t="array" ref="F52">Common_Equations.Common_ConvertN2OToCO2e_Unit()</f>
        <v>t CO2e</v>
      </c>
      <c r="O52" s="89" t="s">
        <v>493</v>
      </c>
      <c r="P52" s="89" cm="1">
        <f t="array" ref="P52">Common_Equations.Common_ConvertN2OToCO2e(R49,R50)</f>
        <v>26.135814653443521</v>
      </c>
      <c r="Q52" s="94"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c r="A55" s="83" t="s">
        <v>1</v>
      </c>
    </row>
    <row r="56" spans="1:18" ht="20.100000000000001" customHeight="1" x14ac:dyDescent="0.25">
      <c r="A56" s="5" t="str">
        <f>HYPERLINK("#'Constants - Dairy'!A1", "Constants - Dairy")</f>
        <v>Constants - Dairy</v>
      </c>
    </row>
    <row r="57" spans="1:18" ht="20.100000000000001" customHeight="1" x14ac:dyDescent="0.25">
      <c r="A57" s="5" t="str">
        <f>HYPERLINK("#'Constants - Ag Residue'!A1", "Constants - Ag residue")</f>
        <v>Constants - Ag residue</v>
      </c>
    </row>
    <row r="58" spans="1:18" ht="20.100000000000001" customHeight="1" x14ac:dyDescent="0.25">
      <c r="A58" s="5" t="str">
        <f>HYPERLINK("#'Constants - Common Livestock'!A1", "Constants - Common Livestock")</f>
        <v>Constants - Common Livestock</v>
      </c>
    </row>
    <row r="59" spans="1:18" ht="20.100000000000001" customHeight="1" x14ac:dyDescent="0.25">
      <c r="A59" s="5" t="str">
        <f>HYPERLINK("#'Constants - Electricity'!A1", "Constants - Electricity")</f>
        <v>Constants - Electricity</v>
      </c>
    </row>
    <row r="60" spans="1:18" ht="20.100000000000001" customHeight="1" x14ac:dyDescent="0.25">
      <c r="A60" s="5" t="str">
        <f>HYPERLINK("#'Constants - Fertiliser'!A1", "Constants - Fertiliser")</f>
        <v>Constants - Fertiliser</v>
      </c>
    </row>
    <row r="61" spans="1:18" ht="20.100000000000001" customHeight="1" x14ac:dyDescent="0.25">
      <c r="A61" s="5" t="str">
        <f>HYPERLINK("#'Constants - Fuel'!A1", "Constants - Fuel")</f>
        <v>Constants - Fuel</v>
      </c>
    </row>
    <row r="62" spans="1:18" ht="20.100000000000001" customHeight="1" x14ac:dyDescent="0.25">
      <c r="A62" s="5" t="str">
        <f>HYPERLINK("#'Constants - Scope 3'!A1", "Constants - Scope 3")</f>
        <v>Constants - Scope 3</v>
      </c>
    </row>
    <row r="63" spans="1:18" ht="20.100000000000001" customHeight="1" x14ac:dyDescent="0.25">
      <c r="A63" s="5" t="str">
        <f>HYPERLINK("#'Constants - Common'!A1", "Constants - Common")</f>
        <v>Constants - Common</v>
      </c>
    </row>
    <row r="64" spans="1:18"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 P23 E28 P28" xr:uid="{9D8B183A-D850-47EE-A8C9-87EA5E7294B1}"/>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1A47-991E-49CC-9526-BB0D69521690}">
  <sheetPr>
    <tabColor rgb="FF008000"/>
  </sheetPr>
  <dimension ref="A1:X342"/>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697</v>
      </c>
      <c r="K1"/>
    </row>
    <row r="2" spans="1:24" s="3" customFormat="1" ht="20.100000000000001" customHeight="1" x14ac:dyDescent="0.25">
      <c r="A2"/>
      <c r="K2"/>
    </row>
    <row r="3" spans="1:24" ht="20.100000000000001" customHeight="1" x14ac:dyDescent="0.25">
      <c r="A3" s="5" t="str">
        <f>HYPERLINK("#'Home'!A1", "Home")</f>
        <v>Home</v>
      </c>
      <c r="C3" s="22"/>
      <c r="D3" s="22" t="s">
        <v>129</v>
      </c>
      <c r="E3" s="22"/>
      <c r="F3" s="22"/>
      <c r="G3" s="22"/>
      <c r="H3" s="22"/>
      <c r="I3" s="22"/>
      <c r="J3" s="22"/>
      <c r="L3" s="22"/>
      <c r="M3" s="22" t="s">
        <v>130</v>
      </c>
      <c r="N3" s="22"/>
      <c r="O3" s="22"/>
      <c r="P3" s="22"/>
      <c r="Q3" s="22"/>
      <c r="R3" s="22"/>
      <c r="S3" s="22"/>
      <c r="T3" s="22"/>
      <c r="U3" s="22"/>
      <c r="V3" s="22"/>
      <c r="W3" s="22"/>
      <c r="X3" s="22"/>
    </row>
    <row r="4" spans="1:24" ht="20.100000000000001" customHeight="1" x14ac:dyDescent="0.25">
      <c r="A4" s="5" t="str">
        <f>HYPERLINK("#'Results - Activity period'!A1", "Results - Activity period")</f>
        <v>Results - Activity period</v>
      </c>
    </row>
    <row r="5" spans="1:24" ht="20.100000000000001" customHeight="1" x14ac:dyDescent="0.25">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79" t="s">
        <v>698</v>
      </c>
    </row>
    <row r="6" spans="1:24" ht="20.100000000000001" customHeight="1" x14ac:dyDescent="0.25">
      <c r="A6" s="5" t="str">
        <f>HYPERLINK("#'Results'!A1", "Results")</f>
        <v>Results</v>
      </c>
      <c r="D6" s="17" t="str" cm="1">
        <f t="array" ref="D6">Fertiliser_Equations_InorganicN2O.VEERG_5_1_1_1__2_MassOfNitrogenInInorganicFertiliser_Source()</f>
        <v>VEERG 2026: 5.1.1.1, Equation (2)</v>
      </c>
      <c r="M6" s="69" t="s">
        <v>699</v>
      </c>
      <c r="N6" s="69"/>
      <c r="O6" s="69"/>
      <c r="P6" s="69"/>
      <c r="Q6" s="69"/>
      <c r="R6" s="69"/>
      <c r="S6" s="69"/>
    </row>
    <row r="7" spans="1:24" ht="20.100000000000001" customHeight="1" x14ac:dyDescent="0.25">
      <c r="D7" s="117" t="s">
        <v>343</v>
      </c>
      <c r="E7" s="117" t="str" cm="1">
        <f t="array" aca="1" ref="E7" ca="1">Common_InputFunctions.Utility_DisplayFunctionName(G19)</f>
        <v>=Fertiliser_Equations_InorganicN2O.VEERG_5_1_1_1__2_MassOfNitrogenInInorganicFertiliser</v>
      </c>
      <c r="M7" s="121" t="s">
        <v>700</v>
      </c>
    </row>
    <row r="8" spans="1:24" ht="20.100000000000001" customHeight="1" x14ac:dyDescent="0.25">
      <c r="M8" s="122" t="s">
        <v>701</v>
      </c>
    </row>
    <row r="9" spans="1:24" ht="20.100000000000001" customHeight="1" x14ac:dyDescent="0.25">
      <c r="A9" s="7" t="s">
        <v>0</v>
      </c>
      <c r="O9" s="178" t="s">
        <v>702</v>
      </c>
      <c r="P9" s="178" t="s">
        <v>703</v>
      </c>
      <c r="Q9" s="178" t="s">
        <v>704</v>
      </c>
    </row>
    <row r="10" spans="1:24" ht="20.100000000000001" customHeight="1" x14ac:dyDescent="0.25">
      <c r="A10" s="5" t="str">
        <f>HYPERLINK("#'Input - Enterprise'!A1", "Enterprise")</f>
        <v>Enterprise</v>
      </c>
      <c r="D10" s="76" t="s">
        <v>344</v>
      </c>
      <c r="E10" s="1" t="str" cm="1">
        <f t="array" ref="E10">Fertiliser_Equations_InorganicN2O.VEERG_5_1_1_1__2_MassOfNitrogenInInorganicFertiliser_Variable()</f>
        <v>MN_jf</v>
      </c>
      <c r="M10" s="123" t="s">
        <v>705</v>
      </c>
      <c r="N10" s="81" t="s">
        <v>705</v>
      </c>
      <c r="O10" s="81" t="s">
        <v>706</v>
      </c>
      <c r="P10" s="81" t="s">
        <v>707</v>
      </c>
      <c r="Q10" s="123" t="s">
        <v>708</v>
      </c>
    </row>
    <row r="11" spans="1:24" ht="20.100000000000001" customHeight="1" x14ac:dyDescent="0.25">
      <c r="A11" s="5" t="str">
        <f>HYPERLINK("#'Input - Site'!A1", "Site")</f>
        <v>Site</v>
      </c>
      <c r="D11" s="76" t="s">
        <v>118</v>
      </c>
      <c r="E11" s="9" t="str" cm="1">
        <f t="array" ref="E11">Fertiliser_Equations_InorganicN2O.VEERG_5_1_1_1__2_MassOfNitrogenInInorganicFertiliser_Unit()</f>
        <v>kg N</v>
      </c>
      <c r="M11" s="15" t="s">
        <v>709</v>
      </c>
      <c r="N11" s="15" t="str" cm="1">
        <f t="array" ref="N11:N20">Table_Input_InorganicFertiliser_Brands[Product (select)]</f>
        <v>Urea</v>
      </c>
      <c r="O11" s="15" cm="1">
        <f t="array" ref="O11:O20">Table_Input_InorganicFertiliser_Brands[N application rate (kg/ha)]</f>
        <v>46</v>
      </c>
      <c r="P11" s="15" t="str" cm="1">
        <f t="array" ref="P11:P20">IF(Table_Input_InorganicFertiliser_Brands[N application rate (kg/ha)]&gt;0, Table_Input_InorganicFertiliser_Brands[Application area (ha)], 0)</f>
        <v>Pasture</v>
      </c>
      <c r="Q11" s="15" t="e">
        <f>O11*P11</f>
        <v>#VALUE!</v>
      </c>
    </row>
    <row r="12" spans="1:24" ht="20.100000000000001" customHeight="1" x14ac:dyDescent="0.25">
      <c r="A12" s="5" t="str">
        <f>HYPERLINK("#'Input - Dairy'!A1", "Dairy")</f>
        <v>Dairy</v>
      </c>
      <c r="M12" s="15" t="s">
        <v>709</v>
      </c>
      <c r="N12" s="15" t="str">
        <v>Boost-It</v>
      </c>
      <c r="O12" s="15">
        <v>24</v>
      </c>
      <c r="P12" s="15" t="str">
        <v>Pasture</v>
      </c>
      <c r="Q12" s="15" t="e">
        <f>O12*P12</f>
        <v>#VALUE!</v>
      </c>
    </row>
    <row r="13" spans="1:24" ht="20.100000000000001" customHeight="1" x14ac:dyDescent="0.25">
      <c r="A13" s="5" t="str">
        <f>HYPERLINK("#'Input - Livestock sales'!A1", "Livestock sales")</f>
        <v>Livestock sales</v>
      </c>
      <c r="D13" s="131" t="str" cm="1">
        <f t="array" ref="D13:E14">_xlfn.CHOOSECOLS(Fertiliser_Equations_InorganicN2O.VEERG_5_1_1_1__2_MassOfNitrogenInInorganicFertiliser_Arguments(), 1,2)</f>
        <v>TM_jf</v>
      </c>
      <c r="E13" s="131" t="str">
        <v>total mass of inorganic fertiliser type f applied to production system j</v>
      </c>
      <c r="F13" s="131"/>
      <c r="G13" s="131" t="str" cm="1">
        <f t="array" ref="G13:H14">_xlfn.CHOOSECOLS(Fertiliser_Equations_InorganicN2O.VEERG_5_1_1_1__2_MassOfNitrogenInInorganicFertiliser_Arguments(), 3,4)</f>
        <v>kg</v>
      </c>
      <c r="H13" s="120" t="str">
        <v>Input</v>
      </c>
      <c r="I13" s="126" t="str" cm="1">
        <f t="array" aca="1" ref="I13" ca="1">HYPERLINK(Common_InputFunctions.Utility_SourceHyperlink($D$16), $D$16)</f>
        <v>Table_MN_j_f</v>
      </c>
      <c r="M13" s="15" t="s">
        <v>709</v>
      </c>
      <c r="N13" s="15" t="str">
        <v>Cal-Gran 50/50</v>
      </c>
      <c r="O13" s="15">
        <v>17.899999999999999</v>
      </c>
      <c r="P13" s="15" t="str">
        <v>Pasture</v>
      </c>
      <c r="Q13" s="15" t="e">
        <f t="shared" ref="Q13:Q20" si="0">O13*P13</f>
        <v>#VALUE!</v>
      </c>
    </row>
    <row r="14" spans="1:24" ht="20.100000000000001" customHeight="1" x14ac:dyDescent="0.25">
      <c r="A14" s="5" t="str">
        <f>HYPERLINK("#'Input - Dairy cattle purchases'!A1", "Dairy cattle purchases")</f>
        <v>Dairy cattle purchases</v>
      </c>
      <c r="D14" s="131" t="str">
        <v>FN_inorganicf</v>
      </c>
      <c r="E14" s="134" t="str">
        <v xml:space="preserve">fraction of nitrogen in inorganic fertiliser type f </v>
      </c>
      <c r="F14" s="137"/>
      <c r="G14" s="131" t="str">
        <v>kg N/kg</v>
      </c>
      <c r="H14" s="127" t="str">
        <v>Constant</v>
      </c>
      <c r="I14" s="126" t="str" cm="1">
        <f t="array" aca="1" ref="I14" ca="1">HYPERLINK(Common_InputFunctions.Utility_SourceHyperlink($D$16), $D$16)</f>
        <v>Table_MN_j_f</v>
      </c>
      <c r="M14" s="15" t="s">
        <v>709</v>
      </c>
      <c r="N14" s="15">
        <v>0</v>
      </c>
      <c r="O14" s="15">
        <v>0</v>
      </c>
      <c r="P14" s="15">
        <v>0</v>
      </c>
      <c r="Q14" s="15">
        <f t="shared" si="0"/>
        <v>0</v>
      </c>
    </row>
    <row r="15" spans="1:24" ht="20.100000000000001" customHeight="1" x14ac:dyDescent="0.25">
      <c r="A15" s="5" t="str">
        <f>HYPERLINK("#'Input - Pasture'!A1", "Pasture")</f>
        <v>Pasture</v>
      </c>
      <c r="M15" s="15" t="s">
        <v>709</v>
      </c>
      <c r="N15" s="15">
        <v>0</v>
      </c>
      <c r="O15" s="15">
        <v>0</v>
      </c>
      <c r="P15" s="15">
        <v>0</v>
      </c>
      <c r="Q15" s="15">
        <f t="shared" si="0"/>
        <v>0</v>
      </c>
    </row>
    <row r="16" spans="1:24" ht="20.100000000000001" customHeight="1" x14ac:dyDescent="0.25">
      <c r="A16" s="5" t="str">
        <f>HYPERLINK("#'Input - Fert Prod System'!A1", "Fert Prod System")</f>
        <v>Fert Prod System</v>
      </c>
      <c r="D16" s="121" t="s">
        <v>710</v>
      </c>
      <c r="M16" s="15" t="s">
        <v>709</v>
      </c>
      <c r="N16" s="15">
        <v>0</v>
      </c>
      <c r="O16" s="15">
        <v>0</v>
      </c>
      <c r="P16" s="15">
        <v>0</v>
      </c>
      <c r="Q16" s="15">
        <f t="shared" si="0"/>
        <v>0</v>
      </c>
    </row>
    <row r="17" spans="1:17" ht="20.100000000000001" customHeight="1" x14ac:dyDescent="0.25">
      <c r="A17" s="5" t="str">
        <f>HYPERLINK("#'Input - Fertiliser'!A1", "Fertiliser")</f>
        <v>Fertiliser</v>
      </c>
      <c r="D17" s="122" t="s">
        <v>711</v>
      </c>
      <c r="M17" s="15" t="s">
        <v>709</v>
      </c>
      <c r="N17" s="15">
        <v>0</v>
      </c>
      <c r="O17" s="15">
        <v>0</v>
      </c>
      <c r="P17" s="15">
        <v>0</v>
      </c>
      <c r="Q17" s="15">
        <f t="shared" si="0"/>
        <v>0</v>
      </c>
    </row>
    <row r="18" spans="1:17" ht="20.100000000000001" customHeight="1" x14ac:dyDescent="0.25">
      <c r="A18" s="5" t="str">
        <f>HYPERLINK("#'Input - Fuel'!A1", "Fuel")</f>
        <v>Fuel</v>
      </c>
      <c r="D18" s="123" t="s">
        <v>712</v>
      </c>
      <c r="E18" s="81" t="s">
        <v>713</v>
      </c>
      <c r="F18" s="123" t="s">
        <v>714</v>
      </c>
      <c r="G18" s="123" t="s">
        <v>715</v>
      </c>
      <c r="M18" s="15" t="s">
        <v>709</v>
      </c>
      <c r="N18" s="15">
        <v>0</v>
      </c>
      <c r="O18" s="15">
        <v>0</v>
      </c>
      <c r="P18" s="15">
        <v>0</v>
      </c>
      <c r="Q18" s="15">
        <f t="shared" si="0"/>
        <v>0</v>
      </c>
    </row>
    <row r="19" spans="1:17" ht="20.100000000000001" customHeight="1" x14ac:dyDescent="0.25">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709</v>
      </c>
      <c r="N19" s="15">
        <v>0</v>
      </c>
      <c r="O19" s="15">
        <v>0</v>
      </c>
      <c r="P19" s="15">
        <v>0</v>
      </c>
      <c r="Q19" s="15">
        <f t="shared" si="0"/>
        <v>0</v>
      </c>
    </row>
    <row r="20" spans="1:17" ht="20.100000000000001" customHeight="1" x14ac:dyDescent="0.25">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709</v>
      </c>
      <c r="N20" s="15">
        <v>0</v>
      </c>
      <c r="O20" s="15">
        <v>0</v>
      </c>
      <c r="P20" s="15">
        <v>0</v>
      </c>
      <c r="Q20" s="15">
        <f t="shared" si="0"/>
        <v>0</v>
      </c>
    </row>
    <row r="21" spans="1:17" ht="20.100000000000001" customHeight="1" x14ac:dyDescent="0.25">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0</v>
      </c>
      <c r="M21" s="15" t="s">
        <v>716</v>
      </c>
      <c r="N21" s="15" t="str" cm="1">
        <f t="array" ref="N21:N30">Table_Input_InorganicFertiliser_Custom[Custom blend name]</f>
        <v>My first custom blend</v>
      </c>
      <c r="O21" s="15" cm="1">
        <f t="array" ref="O21:O30">Table_Input_InorganicFertiliser_Custom[N application rate (kg/ha)]</f>
        <v>7.75</v>
      </c>
      <c r="P21" s="15" t="str" cm="1">
        <f t="array" ref="P21:P30">IF(Table_Input_InorganicFertiliser_Custom[N application rate (kg/ha)]&gt;0, Table_Input_InorganicFertiliser_Custom[Application area (ha)],0)</f>
        <v>Pasture</v>
      </c>
      <c r="Q21" s="15" t="e">
        <f>O21*P21</f>
        <v>#VALUE!</v>
      </c>
    </row>
    <row r="22" spans="1:17" ht="20.100000000000001" customHeight="1" x14ac:dyDescent="0.25">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716</v>
      </c>
      <c r="N22" s="15" t="str">
        <v>My second custom blend</v>
      </c>
      <c r="O22" s="15">
        <v>46</v>
      </c>
      <c r="P22" s="15" t="str">
        <v>Pasture</v>
      </c>
      <c r="Q22" s="15" t="e">
        <f>O22*P22</f>
        <v>#VALUE!</v>
      </c>
    </row>
    <row r="23" spans="1:17" ht="20.100000000000001" customHeight="1" x14ac:dyDescent="0.25">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716</v>
      </c>
      <c r="N23" s="15" t="str">
        <v>My third custom blend</v>
      </c>
      <c r="O23" s="15">
        <v>41.174999999999997</v>
      </c>
      <c r="P23" s="15" t="str">
        <v>Pasture</v>
      </c>
      <c r="Q23" s="15" t="e">
        <f>O23*P23</f>
        <v>#VALUE!</v>
      </c>
    </row>
    <row r="24" spans="1:17" ht="20.100000000000001" customHeight="1" x14ac:dyDescent="0.25">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716</v>
      </c>
      <c r="N24" s="15">
        <v>0</v>
      </c>
      <c r="O24" s="15">
        <v>0</v>
      </c>
      <c r="P24" s="15">
        <v>0</v>
      </c>
      <c r="Q24" s="15">
        <f>O24*P24</f>
        <v>0</v>
      </c>
    </row>
    <row r="25" spans="1:17" ht="20.100000000000001" customHeight="1" x14ac:dyDescent="0.25">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716</v>
      </c>
      <c r="N25" s="15">
        <v>0</v>
      </c>
      <c r="O25" s="15">
        <v>0</v>
      </c>
      <c r="P25" s="15">
        <v>0</v>
      </c>
      <c r="Q25" s="15">
        <f>O25*P25</f>
        <v>0</v>
      </c>
    </row>
    <row r="26" spans="1:17" ht="20.100000000000001" customHeight="1" x14ac:dyDescent="0.25">
      <c r="A26" s="5" t="str">
        <f>HYPERLINK("#'Input - Data quality'!A1", "Data quality")</f>
        <v>Data quality</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0</v>
      </c>
      <c r="M26" s="15" t="s">
        <v>716</v>
      </c>
      <c r="N26" s="15">
        <v>0</v>
      </c>
      <c r="O26" s="15">
        <v>0</v>
      </c>
      <c r="P26" s="15">
        <v>0</v>
      </c>
      <c r="Q26" s="15">
        <f t="shared" ref="Q26:Q30" si="1">O26*P26</f>
        <v>0</v>
      </c>
    </row>
    <row r="27" spans="1: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0</v>
      </c>
      <c r="M27" s="15" t="s">
        <v>716</v>
      </c>
      <c r="N27" s="15">
        <v>0</v>
      </c>
      <c r="O27" s="15">
        <v>0</v>
      </c>
      <c r="P27" s="15">
        <v>0</v>
      </c>
      <c r="Q27" s="15">
        <f t="shared" si="1"/>
        <v>0</v>
      </c>
    </row>
    <row r="28" spans="1:17" ht="20.100000000000001" customHeight="1" x14ac:dyDescent="0.25">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716</v>
      </c>
      <c r="N28" s="15">
        <v>0</v>
      </c>
      <c r="O28" s="15">
        <v>0</v>
      </c>
      <c r="P28" s="15">
        <v>0</v>
      </c>
      <c r="Q28" s="15">
        <f t="shared" si="1"/>
        <v>0</v>
      </c>
    </row>
    <row r="29" spans="1:17" ht="20.100000000000001" customHeight="1" x14ac:dyDescent="0.25">
      <c r="A29" s="6" t="s">
        <v>2</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716</v>
      </c>
      <c r="N29" s="15">
        <v>0</v>
      </c>
      <c r="O29" s="15">
        <v>0</v>
      </c>
      <c r="P29" s="15">
        <v>0</v>
      </c>
      <c r="Q29" s="15">
        <f t="shared" si="1"/>
        <v>0</v>
      </c>
    </row>
    <row r="30" spans="1:17" ht="20.100000000000001" customHeight="1" x14ac:dyDescent="0.25">
      <c r="A30" s="5" t="str">
        <f>HYPERLINK("#'3.3.1.1-2 Enteric Methane'!A1", "3.3.1.1-2 Enteric methane")</f>
        <v>3.3.1.1-2 Enteric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716</v>
      </c>
      <c r="N30" s="15">
        <v>0</v>
      </c>
      <c r="O30" s="15">
        <v>0</v>
      </c>
      <c r="P30" s="15">
        <v>0</v>
      </c>
      <c r="Q30" s="15">
        <f t="shared" si="1"/>
        <v>0</v>
      </c>
    </row>
    <row r="31" spans="1:17" ht="20.100000000000001" customHeight="1" x14ac:dyDescent="0.25">
      <c r="A31" s="5" t="str">
        <f>HYPERLINK("#'4.3.1.1-2 Methane'!A1", "4.3.1.1-2 Manure methane")</f>
        <v>4.3.1.1-2 Manure methane</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5">
      <c r="A32" s="5" t="str">
        <f>HYPERLINK("#'4.3.1.3-4 Direct N20'!A1", "4.3.1.3-4 Direct N20")</f>
        <v>4.3.1.3-4 Direct N20</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5">
      <c r="A33" s="5" t="str">
        <f>HYPERLINK("#'4.3.1.5 Atmos deposition'!A1", "4.3.1.5 Atmos deposition")</f>
        <v>4.3.1.5 Atmos deposition</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93" t="s">
        <v>717</v>
      </c>
      <c r="N33" s="89" t="e">
        <f>SUM(Q11:Q30)</f>
        <v>#VALUE!</v>
      </c>
    </row>
    <row r="34" spans="1:24" ht="20.100000000000001" customHeight="1" x14ac:dyDescent="0.25">
      <c r="A34" s="5" t="str">
        <f>HYPERLINK("#'4.3.1.6-7 Leaching and runoff'!A1", "4.3.1.6-7 Leaching &amp; runoff")</f>
        <v>4.3.1.6-7 Leaching &amp; runoff</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6" t="s">
        <v>718</v>
      </c>
      <c r="N34" s="1">
        <f>MAX(P11:P30)</f>
        <v>0</v>
      </c>
    </row>
    <row r="35" spans="1:24" ht="20.100000000000001" customHeight="1" x14ac:dyDescent="0.25">
      <c r="A35" s="5" t="str">
        <f>HYPERLINK("#'4.3.1.8 Manure applied to soils'!A1", "4.3.1.8 Manure applied to soils")</f>
        <v>4.3.1.8 Manure applied to soils</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6" t="s">
        <v>719</v>
      </c>
      <c r="N35" s="1" t="e">
        <f>N33/N34</f>
        <v>#VALUE!</v>
      </c>
    </row>
    <row r="36" spans="1:24" ht="20.100000000000001" customHeight="1" x14ac:dyDescent="0.25">
      <c r="A36" s="5" t="str">
        <f>HYPERLINK("#'4.3.1.9 Soil direct N2O'!A1", "4.3.1.9 Soil direct N2O")</f>
        <v>4.3.1.9 Soil direct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0</v>
      </c>
    </row>
    <row r="37" spans="1:24" ht="20.100000000000001" customHeight="1" x14ac:dyDescent="0.25">
      <c r="A37" s="5" t="str">
        <f>HYPERLINK("#'4.3.1.10-11 Soil Atmos Dep'!A1", "4.3.1.10-11 Soil Atmos Deposition")</f>
        <v>4.3.1.10-11 Soil Atmos Deposition</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0</v>
      </c>
      <c r="L37" s="89"/>
      <c r="M37" s="89"/>
      <c r="N37" s="89"/>
      <c r="O37" s="89"/>
      <c r="P37" s="89"/>
      <c r="Q37" s="89"/>
      <c r="R37" s="89"/>
      <c r="S37" s="89"/>
      <c r="T37" s="89"/>
      <c r="U37" s="89"/>
      <c r="V37" s="89"/>
      <c r="W37" s="89"/>
      <c r="X37" s="89"/>
    </row>
    <row r="38" spans="1:24" ht="20.100000000000001" customHeight="1" x14ac:dyDescent="0.25">
      <c r="A38" s="5" t="str">
        <f>HYPERLINK("#'4.3.1.12-13 Soil leach runoff'!A1", "4.3.1.12-13 Soil leach &amp; runoff")</f>
        <v>4.3.1.12-13 Soil leach &amp; runoff</v>
      </c>
    </row>
    <row r="39" spans="1:24" ht="20.100000000000001" customHeight="1" x14ac:dyDescent="0.25">
      <c r="A39" s="118" t="str">
        <f>HYPERLINK("#'5.1.1.1-2 Inorganic fert N2O'!A1", "5.1.1.1-2 Inorganic fert N2O")</f>
        <v>5.1.1.1-2 Inorganic fert N2O</v>
      </c>
      <c r="C39" s="89"/>
      <c r="D39" s="89"/>
      <c r="E39" s="89"/>
      <c r="F39" s="89"/>
      <c r="G39" s="89"/>
      <c r="H39" s="89"/>
      <c r="I39" s="89"/>
      <c r="J39" s="89"/>
      <c r="M39" s="2" t="str" cm="1">
        <f t="array" ref="M39">Fertiliser_Equations_InorganicN2O.VEERG_5_1_1_2__1_EmissionFactorIrrigatedMaize_Title()</f>
        <v>Emission factor for nitrous oxide for irrigated maize</v>
      </c>
    </row>
    <row r="40" spans="1:24" ht="20.100000000000001" customHeight="1" x14ac:dyDescent="0.25">
      <c r="A40" s="5" t="str">
        <f>HYPERLINK("#'5.1.1.3-4 Inorganic fert CO2'!A1", "5.1.1.3-4 Inorganic fert CO2")</f>
        <v>5.1.1.3-4 Inorganic fert CO2</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5">
      <c r="A41" s="5" t="str">
        <f>HYPERLINK("#'5.2.1.1-2 Organic Fert N2O'!A1", "5.2.1.1-2 Organic fert N2O")</f>
        <v>5.2.1.1-2 Organic fert N2O</v>
      </c>
      <c r="D41" s="17" t="str" cm="1">
        <f t="array" ref="D41">Fertiliser_Equations_InorganicN2O.VEERG_5_1_1_1__1_InorganicFertiliserApplicationN2OEmissions_Source()</f>
        <v>VEERG 2026: 5.1.1.1, Equation (1)</v>
      </c>
    </row>
    <row r="42" spans="1:24" ht="20.100000000000001" customHeight="1" x14ac:dyDescent="0.25">
      <c r="A42" s="5" t="str">
        <f>HYPERLINK("#'5.3.1.1-2 Lime CO2'!A1", "5.3.1.1-2 Lime CO2")</f>
        <v>5.3.1.1-2 Lime CO2</v>
      </c>
      <c r="D42" s="117" t="s">
        <v>343</v>
      </c>
      <c r="E42" s="117" t="str" cm="1">
        <f t="array" aca="1" ref="E42" ca="1">Common_InputFunctions.Utility_DisplayFunctionName($E$60)</f>
        <v>=Fertiliser_Equations_InorganicN2O.VEERG_5_1_1_1__1_InorganicFertiliserApplicationN2OEmissions</v>
      </c>
      <c r="F42" s="16"/>
    </row>
    <row r="43" spans="1:24" ht="20.100000000000001" customHeight="1" x14ac:dyDescent="0.25">
      <c r="A43" s="5" t="str">
        <f>HYPERLINK("#'5.4.1.1-4 Atmos deposition'!A1", "5.4.1.1-4 Atmos. deposition")</f>
        <v>5.4.1.1-4 Atmos. deposition</v>
      </c>
      <c r="F43" s="16"/>
      <c r="M43" s="76" t="s">
        <v>344</v>
      </c>
      <c r="N43" s="1" t="str" cm="1">
        <f t="array" ref="N43">Fertiliser_Equations_InorganicN2O.VEERG_5_1_1_2__1_EmissionFactorIrrigatedMaize_Variable()</f>
        <v>EF_fjIrrigatedMaizeN2O</v>
      </c>
    </row>
    <row r="44" spans="1:24" ht="20.100000000000001" customHeight="1" x14ac:dyDescent="0.25">
      <c r="A44" s="5" t="str">
        <f>HYPERLINK("#'5.5.1.1-2 Leaching and runoff'!A1", "5.5.1.1-2 Leaching &amp; runoff")</f>
        <v>5.5.1.1-2 Leaching &amp; runoff</v>
      </c>
      <c r="F44" s="16"/>
      <c r="M44" s="76" t="s">
        <v>118</v>
      </c>
      <c r="N44" s="9" t="str" cm="1">
        <f t="array" ref="N44">Fertiliser_Equations_InorganicN2O.VEERG_5_1_1_2__1_EmissionFactorIrrigatedMaize_Unit()</f>
        <v>kg N2O-N/kg N applied</v>
      </c>
    </row>
    <row r="45" spans="1:24" ht="20.100000000000001" customHeight="1" x14ac:dyDescent="0.25">
      <c r="A45" s="5" t="str">
        <f>HYPERLINK("#'6.2.1.1-2 Pasture residue N2O'!A1", "6.2.1.1-2 Pasture residue N2O")</f>
        <v>6.2.1.1-2 Pasture residue N2O</v>
      </c>
      <c r="F45" s="16"/>
    </row>
    <row r="46" spans="1:24" ht="20.100000000000001" customHeight="1" x14ac:dyDescent="0.25">
      <c r="A46" s="5" t="str">
        <f>HYPERLINK("#'6.3.1.1-2 Leach runoff pasture'!A1", "6.3.1.1-2 Leach &amp; runoff (pasture)")</f>
        <v>6.3.1.1-2 Leach &amp; runoff (pasture)</v>
      </c>
      <c r="D46" s="76" t="s">
        <v>344</v>
      </c>
      <c r="E46" s="1" t="str" cm="1">
        <f t="array" ref="E46">Fertiliser_Equations_InorganicN2O.VEERG_5_1_1_1__1_InorganicFertiliserApplicationN2OEmissions_Variable()</f>
        <v>E_N2O</v>
      </c>
      <c r="F46" s="16"/>
      <c r="M46" s="131" t="str" cm="1">
        <f t="array" ref="M46:N47">_xlfn.CHOOSECOLS(Fertiliser_Equations_InorganicN2O.VEERG_5_1_1_2__1_EmissionFactorIrrigatedMaize_Arguments(), 1, 2)</f>
        <v>N_fjIrrigatedMaize</v>
      </c>
      <c r="N46" s="134" t="str">
        <v>application rate of inorganic fertiliser type f in the irrigated maize crop</v>
      </c>
      <c r="O46" s="140"/>
      <c r="P46" s="131" t="str" cm="1">
        <f t="array" ref="P46:Q47">_xlfn.CHOOSECOLS(Fertiliser_Equations_InorganicN2O.VEERG_5_1_1_2__1_EmissionFactorIrrigatedMaize_Arguments(), 3,4)</f>
        <v>kg N/ha</v>
      </c>
      <c r="Q46" s="120" t="str">
        <v>Input</v>
      </c>
      <c r="R46" s="124" t="e">
        <f>$N$35</f>
        <v>#VALUE!</v>
      </c>
      <c r="S46" s="179"/>
    </row>
    <row r="47" spans="1:24" ht="20.100000000000001" customHeight="1" x14ac:dyDescent="0.25">
      <c r="A47" s="5" t="str">
        <f>HYPERLINK("#'8.1.1.1-2 Transport fuel'!A1", "8.1.1.1-2 Transport fuel")</f>
        <v>8.1.1.1-2 Transport fuel</v>
      </c>
      <c r="D47" s="76" t="s">
        <v>118</v>
      </c>
      <c r="E47" s="9" t="str" cm="1">
        <f t="array" ref="E47">Fertiliser_Equations_InorganicN2O.VEERG_5_1_1_1__1_InorganicFertiliserApplicationN2OEmissions_Unit()</f>
        <v>t N2O</v>
      </c>
      <c r="F47" s="16"/>
      <c r="M47" s="131" t="str">
        <v>f</v>
      </c>
      <c r="N47" s="134" t="str">
        <v>Inorganic fertiliser type</v>
      </c>
      <c r="O47" s="140"/>
      <c r="P47" s="131" t="str">
        <v/>
      </c>
      <c r="Q47" s="127" t="str">
        <v>Constant</v>
      </c>
      <c r="R47" s="134" t="s">
        <v>720</v>
      </c>
      <c r="S47" s="179"/>
    </row>
    <row r="48" spans="1:24" ht="20.100000000000001" customHeight="1" x14ac:dyDescent="0.25">
      <c r="A48" s="5" t="str">
        <f>HYPERLINK("#'8.2.1.1-2 Stationary fuel'!A1", "8.2.1.1-2 Stationary fuel")</f>
        <v>8.2.1.1-2 Stationary fuel</v>
      </c>
      <c r="F48" s="16"/>
    </row>
    <row r="49" spans="1:19" ht="20.100000000000001" customHeight="1" x14ac:dyDescent="0.25">
      <c r="A49" s="5" t="str">
        <f>HYPERLINK("#'10.1.1-2 Solid waste treatment'!A1", "10.1.1.1-2 Solid waste")</f>
        <v>10.1.1.1-2 Solid waste</v>
      </c>
      <c r="D49" s="131" t="str" cm="1">
        <f t="array" ref="D49:E55">_xlfn.CHOOSECOLS(Fertiliser_Equations_InorganicN2O.VEERG_5_1_1_1__1_InorganicFertiliserApplicationN2OEmissions_Arguments(), 1, 2)</f>
        <v>MN_jf</v>
      </c>
      <c r="E49" s="134" t="str">
        <v>mass of nitrogen in inorganic fertiliser type f applied to production system j</v>
      </c>
      <c r="F49" s="140"/>
      <c r="G49" s="131" t="str" cm="1">
        <f t="array" ref="G49:H55">_xlfn.CHOOSECOLS(Fertiliser_Equations_InorganicN2O.VEERG_5_1_1_1__1_InorganicFertiliserApplicationN2OEmissions_Arguments(), 3,4)</f>
        <v>kg N</v>
      </c>
      <c r="H49" s="127" t="str">
        <v>Calculated from 5.1.1.1 (2)</v>
      </c>
      <c r="I49" s="126" t="str" cm="1">
        <f t="array" aca="1" ref="I49" ca="1">HYPERLINK(Common_InputFunctions.Utility_SourceHyperlink(D16), D16)</f>
        <v>Table_MN_j_f</v>
      </c>
      <c r="M49" s="1" t="s">
        <v>721</v>
      </c>
      <c r="N49" s="1" t="e" cm="1">
        <f t="array" ref="N49">Fertiliser_Equations_InorganicN2O.VEERG_5_1_1_2__1_EmissionFactorIrrigatedMaize(R46)</f>
        <v>#VALUE!</v>
      </c>
      <c r="O49" s="9" t="str">
        <f>N44</f>
        <v>kg N2O-N/kg N applied</v>
      </c>
    </row>
    <row r="50" spans="1:19" ht="20.100000000000001" customHeight="1" x14ac:dyDescent="0.25">
      <c r="A50" s="5" t="str">
        <f>HYPERLINK("#'14.1.1-2 Purchased electricity'!A1", "14.1.1-2 Purchased electricity")</f>
        <v>14.1.1-2 Purchased electricity</v>
      </c>
      <c r="D50" s="131" t="str">
        <v>EF_jN2O</v>
      </c>
      <c r="E50" s="134" t="str">
        <v>emission factor for nitrous oxide for inorganic fertilisers</v>
      </c>
      <c r="F50" s="140"/>
      <c r="G50" s="131" t="str">
        <v>kg N2O-N/kg N applied</v>
      </c>
      <c r="H50" s="127" t="str">
        <v>Constant</v>
      </c>
      <c r="I50" s="131" t="e">
        <f>Common_InputFunctions.Utility_LookupN2OEFFromProdIrrigationRainfall(I52,I54,I55,Table_SourceData_Common_EFN2O[Production system only],Table_SourceData_Common_EFN2O[Irrigation method],Table_SourceData_Common_EFN2O[Rainfall zone],Table_SourceData_Common_EFN2O[EFN2O])</f>
        <v>#N/A</v>
      </c>
    </row>
    <row r="51" spans="1:19" ht="20.100000000000001" customHeight="1" x14ac:dyDescent="0.25">
      <c r="A51" s="5" t="str">
        <f>HYPERLINK("#'15 Scope 3'!A1", "15 Scope 3")</f>
        <v>15 Scope 3</v>
      </c>
      <c r="D51" s="131" t="str">
        <v>C_N2O</v>
      </c>
      <c r="E51" s="134" t="str">
        <v>factor to convert elemental mass of nitrous oxide to molecular mass</v>
      </c>
      <c r="F51" s="140"/>
      <c r="G51" s="131" t="str">
        <v/>
      </c>
      <c r="H51" s="127" t="str">
        <v>Constant</v>
      </c>
      <c r="I51" s="131">
        <f>Common_InputFunctions.Utility_LookupValueInTableNumber("N2O",Table_GasToMolecularConversionFactor[Gas],Table_GasToMolecularConversionFactor[Conversion factor combined])</f>
        <v>1.5714285714285714</v>
      </c>
    </row>
    <row r="52" spans="1:19" ht="20.100000000000001" customHeight="1" x14ac:dyDescent="0.25">
      <c r="A52" s="5" t="str">
        <f>HYPERLINK("#'Calcs - Manure sent off-site'!A1", "Calcs - Manure sent off-site")</f>
        <v>Calcs - Manure sent off-site</v>
      </c>
      <c r="D52" s="131" t="str">
        <v>j</v>
      </c>
      <c r="E52" s="134" t="str">
        <v>Production system</v>
      </c>
      <c r="F52" s="140"/>
      <c r="G52" s="131" t="str">
        <v/>
      </c>
      <c r="H52" s="120" t="str">
        <v>Input</v>
      </c>
      <c r="I52" s="131">
        <f>X_Cell_Fertiliser_ProductionSystem</f>
        <v>0</v>
      </c>
    </row>
    <row r="53" spans="1:19" ht="20.100000000000001" customHeight="1" x14ac:dyDescent="0.25">
      <c r="D53" s="131" t="str">
        <v>f</v>
      </c>
      <c r="E53" s="134" t="str">
        <v>Inorganic fertiliser type</v>
      </c>
      <c r="F53" s="140"/>
      <c r="G53" s="131" t="str">
        <v/>
      </c>
      <c r="H53" s="127" t="str">
        <v>Constant</v>
      </c>
      <c r="I53" s="131"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5">
      <c r="D54" s="131" t="str">
        <v>ir</v>
      </c>
      <c r="E54" s="134" t="str">
        <v>irrigation method</v>
      </c>
      <c r="F54" s="140"/>
      <c r="G54" s="131" t="str">
        <v/>
      </c>
      <c r="H54" s="120" t="str">
        <v>Input</v>
      </c>
      <c r="I54" s="131" t="str">
        <f>X_Cell_Fertiliser_IrrigationMethod</f>
        <v>Pasture</v>
      </c>
      <c r="M54" s="17" t="str" cm="1">
        <f t="array" ref="M54">Fertiliser_Equations_InorganicN2O.VEERG_5_1_1_2__2_EmissionFactorNonIrrigatedGrainsHighRainfall_Source()</f>
        <v>VEERG 2026: 5.1.1.2, Equation (2)</v>
      </c>
    </row>
    <row r="55" spans="1:19" ht="20.100000000000001" customHeight="1" x14ac:dyDescent="0.25">
      <c r="A55" s="83" t="s">
        <v>1</v>
      </c>
      <c r="D55" s="131" t="str">
        <v>z</v>
      </c>
      <c r="E55" s="134" t="str">
        <v>rainfall zone</v>
      </c>
      <c r="F55" s="140"/>
      <c r="G55" s="131" t="str">
        <v/>
      </c>
      <c r="H55" s="120" t="str">
        <v>Input</v>
      </c>
      <c r="I55" s="131">
        <f>X_Cell_Site_RainfallZone</f>
        <v>0</v>
      </c>
    </row>
    <row r="56" spans="1:19" ht="20.100000000000001" customHeight="1" x14ac:dyDescent="0.25">
      <c r="A56" s="5" t="str">
        <f>HYPERLINK("#'Constants - Dairy'!A1", "Constants - Dairy")</f>
        <v>Constants - Dairy</v>
      </c>
      <c r="F56" s="16"/>
    </row>
    <row r="57" spans="1:19" ht="20.100000000000001" customHeight="1" x14ac:dyDescent="0.25">
      <c r="A57" s="5" t="str">
        <f>HYPERLINK("#'Constants - Ag Residue'!A1", "Constants - Ag residue")</f>
        <v>Constants - Ag residue</v>
      </c>
      <c r="D57" s="121" t="s">
        <v>722</v>
      </c>
      <c r="F57" s="16"/>
      <c r="M57" s="76" t="s">
        <v>344</v>
      </c>
      <c r="N57" s="1" t="str" cm="1">
        <f t="array" ref="N57">Fertiliser_Equations_InorganicN2O.VEERG_5_1_1_2__2_EmissionFactorNonIrrigatedGrainsHighRainfall_Variable()</f>
        <v>EF_fjNonIrrigatedGrainsN2O</v>
      </c>
    </row>
    <row r="58" spans="1:19" ht="20.100000000000001" customHeight="1" x14ac:dyDescent="0.25">
      <c r="A58" s="5" t="str">
        <f>HYPERLINK("#'Constants - Common Livestock'!A1", "Constants - Common Livestock")</f>
        <v>Constants - Common Livestock</v>
      </c>
      <c r="D58" s="122" t="s">
        <v>723</v>
      </c>
      <c r="F58" s="16"/>
      <c r="M58" s="76" t="s">
        <v>118</v>
      </c>
      <c r="N58" s="9" t="str" cm="1">
        <f t="array" ref="N58">Fertiliser_Equations_InorganicN2O.VEERG_5_1_1_2__2_EmissionFactorNonIrrigatedGrainsHighRainfall_Unit()</f>
        <v>kg N2O-N/kg N applied</v>
      </c>
    </row>
    <row r="59" spans="1:19" ht="20.100000000000001" customHeight="1" x14ac:dyDescent="0.25">
      <c r="A59" s="5" t="str">
        <f>HYPERLINK("#'Constants - Electricity'!A1", "Constants - Electricity")</f>
        <v>Constants - Electricity</v>
      </c>
      <c r="D59" s="123" t="s">
        <v>712</v>
      </c>
      <c r="E59" s="123" t="s">
        <v>724</v>
      </c>
    </row>
    <row r="60" spans="1:19" ht="20.100000000000001" customHeight="1" x14ac:dyDescent="0.25">
      <c r="A60" s="5" t="str">
        <f>HYPERLINK("#'Constants - Fertiliser'!A1", "Constants - Fertiliser")</f>
        <v>Constants - Fertiliser</v>
      </c>
      <c r="D60" s="15" t="str" cm="1">
        <f t="array" ref="D60:D78">Table_Fertiliser_ChemicalCompounds[Fertiliser type f]</f>
        <v>Monoammonium phosphate (MAP)</v>
      </c>
      <c r="E60" s="15" t="e" cm="1">
        <f t="array" ref="E60">Fertiliser_Equations_InorganicN2O.VEERG_5_1_1_1__1_InorganicFertiliserApplicationN2OEmissions(G19,$I$50,$I$51)</f>
        <v>#N/A</v>
      </c>
      <c r="F60" s="16" t="str">
        <f>E47</f>
        <v>t N2O</v>
      </c>
      <c r="M60" s="131" t="str" cm="1">
        <f t="array" ref="M60:N61">_xlfn.CHOOSECOLS(Fertiliser_Equations_InorganicN2O.VEERG_5_1_1_2__2_EmissionFactorNonIrrigatedGrainsHighRainfall_Arguments(), 1, 2)</f>
        <v>N_fjNonIrrigatedGrains</v>
      </c>
      <c r="N60" s="134" t="str">
        <v>application rate of inorganic fertiliser type f in the grains crop</v>
      </c>
      <c r="O60" s="140"/>
      <c r="P60" s="131" t="str" cm="1">
        <f t="array" ref="P60:Q61">_xlfn.CHOOSECOLS(Fertiliser_Equations_InorganicN2O.VEERG_5_1_1_2__2_EmissionFactorNonIrrigatedGrainsHighRainfall_Arguments(), 3,4)</f>
        <v>kg N/ha</v>
      </c>
      <c r="Q60" s="120" t="str">
        <v>Input</v>
      </c>
      <c r="R60" s="124" t="e">
        <f>$N$35</f>
        <v>#VALUE!</v>
      </c>
      <c r="S60" s="179"/>
    </row>
    <row r="61" spans="1:19" ht="20.100000000000001" customHeight="1" x14ac:dyDescent="0.25">
      <c r="A61" s="5" t="str">
        <f>HYPERLINK("#'Constants - Fuel'!A1", "Constants - Fuel")</f>
        <v>Constants - Fuel</v>
      </c>
      <c r="D61" s="15" t="str">
        <v>Diammonium phosphate (DAP)</v>
      </c>
      <c r="E61" s="15" t="e" cm="1">
        <f t="array" ref="E61">Fertiliser_Equations_InorganicN2O.VEERG_5_1_1_1__1_InorganicFertiliserApplicationN2OEmissions(G20,$I$50,$I$51)</f>
        <v>#N/A</v>
      </c>
      <c r="M61" s="131" t="str">
        <v>f</v>
      </c>
      <c r="N61" s="134" t="str">
        <v>Inorganic fertiliser type</v>
      </c>
      <c r="O61" s="140"/>
      <c r="P61" s="131" t="str">
        <v/>
      </c>
      <c r="Q61" s="127" t="str">
        <v>Constant</v>
      </c>
      <c r="R61" s="134" t="s">
        <v>720</v>
      </c>
      <c r="S61" s="137"/>
    </row>
    <row r="62" spans="1:19" ht="20.100000000000001" customHeight="1" x14ac:dyDescent="0.25">
      <c r="A62" s="5" t="str">
        <f>HYPERLINK("#'Constants - Scope 3'!A1", "Constants - Scope 3")</f>
        <v>Constants - Scope 3</v>
      </c>
      <c r="D62" s="15" t="str">
        <v>Urea</v>
      </c>
      <c r="E62" s="15" t="e" cm="1">
        <f t="array" ref="E62">Fertiliser_Equations_InorganicN2O.VEERG_5_1_1_1__1_InorganicFertiliserApplicationN2OEmissions(G21,$I$50,$I$51)</f>
        <v>#N/A</v>
      </c>
    </row>
    <row r="63" spans="1:19" ht="20.100000000000001" customHeight="1" x14ac:dyDescent="0.25">
      <c r="A63" s="5" t="str">
        <f>HYPERLINK("#'Constants - Common'!A1", "Constants - Common")</f>
        <v>Constants - Common</v>
      </c>
      <c r="D63" s="15" t="str">
        <v>Sulphate of ammonia (SOA)</v>
      </c>
      <c r="E63" s="15" t="e" cm="1">
        <f t="array" ref="E63">Fertiliser_Equations_InorganicN2O.VEERG_5_1_1_1__1_InorganicFertiliserApplicationN2OEmissions(G22,$I$50,$I$51)</f>
        <v>#N/A</v>
      </c>
      <c r="M63" s="76" t="s">
        <v>725</v>
      </c>
      <c r="N63" s="1" t="e" cm="1">
        <f t="array" ref="N63">Fertiliser_Equations_InorganicN2O.VEERG_5_1_1_2__2_EmissionFactorNonIrrigatedGrainsHighRainfall(R60)</f>
        <v>#VALUE!</v>
      </c>
      <c r="O63" s="9" t="str">
        <f>N58</f>
        <v>kg N2O-N/kg N applied</v>
      </c>
    </row>
    <row r="64" spans="1:19" ht="20.100000000000001" customHeight="1" x14ac:dyDescent="0.25">
      <c r="A64" s="5" t="str">
        <f>HYPERLINK("#'Constants - Solid Waste'!A1", "Constants - Solid Waste")</f>
        <v>Constants - Solid Waste</v>
      </c>
      <c r="D64" s="15" t="str">
        <v>Urea-ammonium nitrate (UAN)</v>
      </c>
      <c r="E64" s="15" t="e" cm="1">
        <f t="array" ref="E64">Fertiliser_Equations_InorganicN2O.VEERG_5_1_1_1__1_InorganicFertiliserApplicationN2OEmissions(G23,$I$50,$I$51)</f>
        <v>#N/A</v>
      </c>
    </row>
    <row r="65" spans="1:20" ht="20.100000000000001" customHeight="1" x14ac:dyDescent="0.25">
      <c r="A65" s="5" t="str">
        <f>HYPERLINK("#'Acknowledgements'!A1", "Acknowledgements")</f>
        <v>Acknowledgements</v>
      </c>
      <c r="D65" s="15" t="str">
        <v>Ammonium nitrate (AN)</v>
      </c>
      <c r="E65" s="15" t="e" cm="1">
        <f t="array" ref="E65">Fertiliser_Equations_InorganicN2O.VEERG_5_1_1_1__1_InorganicFertiliserApplicationN2OEmissions(G24,$I$50,$I$51)</f>
        <v>#N/A</v>
      </c>
    </row>
    <row r="66" spans="1:20" ht="20.100000000000001" customHeight="1" x14ac:dyDescent="0.25">
      <c r="D66" s="15" t="str">
        <v>Calcium ammonium nitrate (CAN)</v>
      </c>
      <c r="E66" s="15" t="e" cm="1">
        <f t="array" ref="E66">Fertiliser_Equations_InorganicN2O.VEERG_5_1_1_1__1_InorganicFertiliserApplicationN2OEmissions(G25,$I$50,$I$51)</f>
        <v>#N/A</v>
      </c>
      <c r="M66" s="2" t="str" cm="1">
        <f t="array" ref="M66">Fertiliser_Equations_InorganicN2O.VEERG_5_1_1_2__3_EmissionFactorCotton_Title()</f>
        <v>Emission factor for nitrous oxide for cotton</v>
      </c>
    </row>
    <row r="67" spans="1:20" ht="20.100000000000001" customHeight="1" x14ac:dyDescent="0.25">
      <c r="D67" s="15" t="str">
        <v>Nitrogen - Ammoniacal</v>
      </c>
      <c r="E67" s="15" t="e" cm="1">
        <f t="array" ref="E67">Fertiliser_Equations_InorganicN2O.VEERG_5_1_1_1__1_InorganicFertiliserApplicationN2OEmissions(G26,$I$50,$I$51)</f>
        <v>#N/A</v>
      </c>
      <c r="M67" s="17" t="str" cm="1">
        <f t="array" ref="M67">Fertiliser_Equations_InorganicN2O.VEERG_5_1_1_2__3_EmissionFactorCotton_Source()</f>
        <v>VEERG 2026: 5.1.1.2, Equation (3)</v>
      </c>
    </row>
    <row r="68" spans="1:20" ht="20.100000000000001" customHeight="1" x14ac:dyDescent="0.25">
      <c r="D68" s="15" t="str">
        <v>Nitrogen - Nitrate</v>
      </c>
      <c r="E68" s="15" t="e" cm="1">
        <f t="array" ref="E68">Fertiliser_Equations_InorganicN2O.VEERG_5_1_1_1__1_InorganicFertiliserApplicationN2OEmissions(G27,$I$50,$I$51)</f>
        <v>#N/A</v>
      </c>
    </row>
    <row r="69" spans="1:20" ht="20.100000000000001" customHeight="1" x14ac:dyDescent="0.25">
      <c r="D69" s="15" t="str">
        <v>Nitrogen - Generic</v>
      </c>
      <c r="E69" s="15" t="e" cm="1">
        <f t="array" ref="E69">Fertiliser_Equations_InorganicN2O.VEERG_5_1_1_1__1_InorganicFertiliserApplicationN2OEmissions(G28,$I$50,$I$51)</f>
        <v>#N/A</v>
      </c>
    </row>
    <row r="70" spans="1:20" ht="20.100000000000001" customHeight="1" x14ac:dyDescent="0.25">
      <c r="D70" s="15" t="str">
        <v>Phosphorus - Generic</v>
      </c>
      <c r="E70" s="15" t="e" cm="1">
        <f t="array" ref="E70">Fertiliser_Equations_InorganicN2O.VEERG_5_1_1_1__1_InorganicFertiliserApplicationN2OEmissions(G29,$I$50,$I$51)</f>
        <v>#N/A</v>
      </c>
    </row>
    <row r="71" spans="1:20" ht="20.100000000000001" customHeight="1" x14ac:dyDescent="0.25">
      <c r="D71" s="15" t="str">
        <v>Potassium - Generic</v>
      </c>
      <c r="E71" s="15" t="e" cm="1">
        <f t="array" ref="E71">Fertiliser_Equations_InorganicN2O.VEERG_5_1_1_1__1_InorganicFertiliserApplicationN2OEmissions(G30,$I$50,$I$51)</f>
        <v>#N/A</v>
      </c>
      <c r="M71" s="76" t="s">
        <v>344</v>
      </c>
      <c r="N71" s="1" t="str" cm="1">
        <f t="array" ref="N71">Fertiliser_Equations_InorganicN2O.VEERG_5_1_1_2__3_EmissionFactorCotton_Variable()</f>
        <v>EF_fjCottonN2O</v>
      </c>
    </row>
    <row r="72" spans="1:20" ht="20.100000000000001" customHeight="1" x14ac:dyDescent="0.25">
      <c r="D72" s="15" t="str">
        <v>Sulfur - Generic</v>
      </c>
      <c r="E72" s="15" t="e" cm="1">
        <f t="array" ref="E72">Fertiliser_Equations_InorganicN2O.VEERG_5_1_1_1__1_InorganicFertiliserApplicationN2OEmissions(G31,$I$50,$I$51)</f>
        <v>#N/A</v>
      </c>
      <c r="M72" s="76" t="s">
        <v>118</v>
      </c>
      <c r="N72" s="9" t="str" cm="1">
        <f t="array" ref="N72">Fertiliser_Equations_InorganicN2O.VEERG_5_1_1_2__3_EmissionFactorCotton_Unit()</f>
        <v>kg N2O-N/kg N applied</v>
      </c>
    </row>
    <row r="73" spans="1:20" ht="20.100000000000001" customHeight="1" x14ac:dyDescent="0.25">
      <c r="D73" s="15" t="str">
        <v>Zinc - Generic</v>
      </c>
      <c r="E73" s="15" t="e" cm="1">
        <f t="array" ref="E73">Fertiliser_Equations_InorganicN2O.VEERG_5_1_1_1__1_InorganicFertiliserApplicationN2OEmissions(G32,$I$50,$I$51)</f>
        <v>#N/A</v>
      </c>
    </row>
    <row r="74" spans="1:20" ht="20.100000000000001" customHeight="1" x14ac:dyDescent="0.25">
      <c r="D74" s="15" t="str">
        <v>Muriate of potash (MOP)</v>
      </c>
      <c r="E74" s="15" t="e" cm="1">
        <f t="array" ref="E74">Fertiliser_Equations_InorganicN2O.VEERG_5_1_1_1__1_InorganicFertiliserApplicationN2OEmissions(G33,$I$50,$I$51)</f>
        <v>#N/A</v>
      </c>
      <c r="M74" s="69" t="s">
        <v>726</v>
      </c>
      <c r="N74" s="69"/>
      <c r="O74" s="69"/>
      <c r="P74" s="69"/>
      <c r="Q74" s="69"/>
      <c r="R74" s="69"/>
      <c r="S74" s="69"/>
      <c r="T74" s="69"/>
    </row>
    <row r="75" spans="1:20" ht="20.100000000000001" customHeight="1" x14ac:dyDescent="0.25">
      <c r="D75" s="15" t="str">
        <v>Double superphosphate</v>
      </c>
      <c r="E75" s="15" t="e" cm="1">
        <f t="array" ref="E75">Fertiliser_Equations_InorganicN2O.VEERG_5_1_1_1__1_InorganicFertiliserApplicationN2OEmissions(G34,$I$50,$I$51)</f>
        <v>#N/A</v>
      </c>
    </row>
    <row r="76" spans="1:20" ht="20.100000000000001" customHeight="1" x14ac:dyDescent="0.25">
      <c r="D76" s="15" t="str">
        <v>Single superphosphate (SSP)</v>
      </c>
      <c r="E76" s="15" t="e" cm="1">
        <f t="array" ref="E76">Fertiliser_Equations_InorganicN2O.VEERG_5_1_1_1__1_InorganicFertiliserApplicationN2OEmissions(G35,$I$50,$I$51)</f>
        <v>#N/A</v>
      </c>
      <c r="M76" s="131" t="str" cm="1">
        <f t="array" ref="M76:N77">_xlfn.CHOOSECOLS(Fertiliser_Equations_InorganicN2O.VEERG_5_1_1_2__3_EmissionFactorCotton_Arguments(), 1, 2)</f>
        <v>N_fjCotton</v>
      </c>
      <c r="N76" s="134" t="str">
        <v>application rate of inorganic fertiliser type f in the cotton crop</v>
      </c>
      <c r="O76" s="140"/>
      <c r="P76" s="134" t="str" cm="1">
        <f t="array" ref="P76:Q77">_xlfn.CHOOSECOLS(Fertiliser_Equations_InorganicN2O.VEERG_5_1_1_2__3_EmissionFactorCotton_Arguments(), 3,4)</f>
        <v>kg N/ha</v>
      </c>
      <c r="Q76" s="120" t="str">
        <v>Input</v>
      </c>
      <c r="R76" s="124" t="e">
        <f>MIN(300, $N$35)</f>
        <v>#VALUE!</v>
      </c>
      <c r="S76" s="179"/>
    </row>
    <row r="77" spans="1:20" ht="20.100000000000001" customHeight="1" x14ac:dyDescent="0.25">
      <c r="D77" s="15" t="str">
        <v>Ammonia</v>
      </c>
      <c r="E77" s="15" t="e" cm="1">
        <f t="array" ref="E77">Fertiliser_Equations_InorganicN2O.VEERG_5_1_1_1__1_InorganicFertiliserApplicationN2OEmissions(G36,$I$50,$I$51)</f>
        <v>#N/A</v>
      </c>
      <c r="M77" s="131" t="str">
        <v>f</v>
      </c>
      <c r="N77" s="134" t="str">
        <v>Inorganic fertiliser type</v>
      </c>
      <c r="O77" s="140"/>
      <c r="P77" s="134" t="str">
        <v/>
      </c>
      <c r="Q77" s="127" t="str">
        <v>Constant</v>
      </c>
      <c r="R77" s="134" t="s">
        <v>720</v>
      </c>
      <c r="S77" s="137"/>
    </row>
    <row r="78" spans="1:20" ht="20.100000000000001" customHeight="1" x14ac:dyDescent="0.25">
      <c r="D78" s="15" t="str">
        <v>Calcium nitrate</v>
      </c>
      <c r="E78" s="15" t="e" cm="1">
        <f t="array" ref="E78">Fertiliser_Equations_InorganicN2O.VEERG_5_1_1_1__1_InorganicFertiliserApplicationN2OEmissions(G37,$I$50,$I$51)</f>
        <v>#N/A</v>
      </c>
    </row>
    <row r="79" spans="1:20" ht="20.100000000000001" customHeight="1" x14ac:dyDescent="0.25">
      <c r="M79" s="76" t="s">
        <v>725</v>
      </c>
      <c r="N79" s="1" t="e" cm="1">
        <f t="array" ref="N79">Fertiliser_Equations_InorganicN2O.VEERG_5_1_1_2__3_EmissionFactorCotton(R76)</f>
        <v>#VALUE!</v>
      </c>
      <c r="O79" s="9" t="str">
        <f>N72</f>
        <v>kg N2O-N/kg N applied</v>
      </c>
    </row>
    <row r="80" spans="1:20" ht="20.100000000000001" customHeight="1" x14ac:dyDescent="0.25">
      <c r="D80" s="88" t="s">
        <v>727</v>
      </c>
      <c r="E80" s="91" t="e">
        <f>SUM(E60:E78)</f>
        <v>#N/A</v>
      </c>
      <c r="F80" s="90" t="str">
        <f>$E$47</f>
        <v>t N2O</v>
      </c>
    </row>
    <row r="81" spans="4:24" ht="20.100000000000001" customHeight="1" x14ac:dyDescent="0.25"/>
    <row r="82" spans="4:24" ht="20.100000000000001" customHeight="1" x14ac:dyDescent="0.25">
      <c r="D82" s="131" t="str" cm="1">
        <f t="array" ref="D82:E83">Common_Equations.Common_ConvertN2OToCO2e_Arguments()</f>
        <v>EN2O</v>
      </c>
      <c r="E82" s="134" t="str">
        <v>Nitrous oxide emissions (t N2O)</v>
      </c>
      <c r="F82" s="135"/>
      <c r="G82" s="15" t="e">
        <f>VEERG_5_1_1_1__1_InorganicFertiliserApplicationN2OEmissions_Result_Method1</f>
        <v>#N/A</v>
      </c>
      <c r="L82" s="89"/>
      <c r="M82" s="89"/>
      <c r="N82" s="89"/>
      <c r="O82" s="89"/>
      <c r="P82" s="89"/>
      <c r="Q82" s="89"/>
      <c r="R82" s="89"/>
      <c r="S82" s="89"/>
      <c r="T82" s="89"/>
      <c r="U82" s="89"/>
      <c r="V82" s="89"/>
      <c r="W82" s="89"/>
      <c r="X82" s="89"/>
    </row>
    <row r="83" spans="4:24" ht="20.100000000000001" customHeight="1" x14ac:dyDescent="0.25">
      <c r="D83" s="131" t="str">
        <v>GWPN2O</v>
      </c>
      <c r="E83" s="134" t="str">
        <v>Global warming potential for nitrous oxide (t CO2-e / t N2O)</v>
      </c>
      <c r="F83" s="135"/>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4:24" ht="20.100000000000001" customHeight="1" x14ac:dyDescent="0.25">
      <c r="M84" s="17" t="str" cm="1">
        <f t="array" ref="M84">Fertiliser_Equations_InorganicN2O.VEERG_5_1_1_1__1_InorganicFertiliserApplicationN2OEmissions_Source()</f>
        <v>VEERG 2026: 5.1.1.1, Equation (1)</v>
      </c>
    </row>
    <row r="85" spans="4:24" ht="20.100000000000001" customHeight="1" x14ac:dyDescent="0.25">
      <c r="D85" s="89" t="s">
        <v>493</v>
      </c>
      <c r="E85" s="89" t="e" cm="1">
        <f t="array" ref="E85">Common_Equations.Common_ConvertN2OToCO2e(G82,G83)</f>
        <v>#N/A</v>
      </c>
      <c r="F85" s="94" t="str" cm="1">
        <f t="array" ref="F85">Common_Equations.Common_ConvertN2OToCO2e_Unit()</f>
        <v>t CO2e</v>
      </c>
      <c r="M85" s="117" t="s">
        <v>343</v>
      </c>
      <c r="N85" s="117" t="str" cm="1">
        <f t="array" aca="1" ref="N85" ca="1">Common_InputFunctions.Utility_DisplayFunctionName($E$60)</f>
        <v>=Fertiliser_Equations_InorganicN2O.VEERG_5_1_1_1__1_InorganicFertiliserApplicationN2OEmissions</v>
      </c>
    </row>
    <row r="86" spans="4:24" ht="20.100000000000001" customHeight="1" x14ac:dyDescent="0.25"/>
    <row r="87" spans="4:24" ht="20.100000000000001" customHeight="1" x14ac:dyDescent="0.25"/>
    <row r="88" spans="4:24" ht="20.100000000000001" customHeight="1" x14ac:dyDescent="0.25"/>
    <row r="89" spans="4:24" ht="20.100000000000001" customHeight="1" x14ac:dyDescent="0.25">
      <c r="M89" s="76" t="s">
        <v>344</v>
      </c>
      <c r="N89" s="1" t="str" cm="1">
        <f t="array" ref="N89">Fertiliser_Equations_InorganicN2O.VEERG_5_1_1_1__1_InorganicFertiliserApplicationN2OEmissions_Variable()</f>
        <v>E_N2O</v>
      </c>
    </row>
    <row r="90" spans="4:24" ht="20.100000000000001" customHeight="1" x14ac:dyDescent="0.25">
      <c r="M90" s="76" t="s">
        <v>118</v>
      </c>
      <c r="N90" s="9" t="str" cm="1">
        <f t="array" ref="N90">Fertiliser_Equations_InorganicN2O.VEERG_5_1_1_1__1_InorganicFertiliserApplicationN2OEmissions_Unit()</f>
        <v>t N2O</v>
      </c>
    </row>
    <row r="91" spans="4:24" ht="20.100000000000001" customHeight="1" x14ac:dyDescent="0.25"/>
    <row r="92" spans="4:24" ht="20.100000000000001" customHeight="1" x14ac:dyDescent="0.25">
      <c r="M92" s="131" t="str" cm="1">
        <f t="array" ref="M92:N99">_xlfn.CHOOSECOLS(Fertiliser_Equations_InorganicN2O.VEERG_5_1_1_1__1_InorganicFertiliserApplicationN2OEmissions_Arguments_Method2(), 1, 2)</f>
        <v>MN_jf</v>
      </c>
      <c r="N92" s="134" t="str">
        <v>mass of nitrogen in inorganic fertiliser type f applied to production system j</v>
      </c>
      <c r="O92" s="140"/>
      <c r="P92" s="137"/>
      <c r="Q92" s="131" t="str" cm="1">
        <f t="array" ref="Q92:R99">_xlfn.CHOOSECOLS(Fertiliser_Equations_InorganicN2O.VEERG_5_1_1_1__1_InorganicFertiliserApplicationN2OEmissions_Arguments_Method2(), 3,4)</f>
        <v>kg N</v>
      </c>
      <c r="R92" s="127" t="str">
        <v>Calculated from 5.1.1.1 (2)</v>
      </c>
      <c r="S92" s="119" t="e">
        <f>N33</f>
        <v>#VALUE!</v>
      </c>
    </row>
    <row r="93" spans="4:24" ht="20.100000000000001" customHeight="1" x14ac:dyDescent="0.25">
      <c r="M93" s="131" t="str">
        <v>EF_jN2O</v>
      </c>
      <c r="N93" s="134" t="str">
        <v>emission factor for nitrous oxide for inorganic fertilisers</v>
      </c>
      <c r="O93" s="140"/>
      <c r="P93" s="137"/>
      <c r="Q93" s="131" t="str">
        <v>kg N2O-N/kg N applied</v>
      </c>
      <c r="R93" s="127" t="str">
        <v>Calculated from 5.1.1.2 (1)(2)(3)</v>
      </c>
      <c r="S93" s="119" t="e">
        <f>_xlfn.XLOOKUP(TRUE,N105:N108,O105:O108)</f>
        <v>#N/A</v>
      </c>
    </row>
    <row r="94" spans="4:24" ht="20.100000000000001" customHeight="1" x14ac:dyDescent="0.25">
      <c r="M94" s="131" t="str">
        <v>C_N2O</v>
      </c>
      <c r="N94" s="134" t="str">
        <v>factor to convert elemental mass of nitrous oxide to molecular mass</v>
      </c>
      <c r="O94" s="140"/>
      <c r="P94" s="137"/>
      <c r="Q94" s="131" t="str">
        <v/>
      </c>
      <c r="R94" s="127" t="str">
        <v>Constant</v>
      </c>
      <c r="S94" s="131">
        <f>Common_InputFunctions.Utility_LookupValueInTableNumber("N2O",Table_GasToMolecularConversionFactor[Gas],Table_GasToMolecularConversionFactor[Conversion factor combined])</f>
        <v>1.5714285714285714</v>
      </c>
    </row>
    <row r="95" spans="4:24" ht="20.100000000000001" customHeight="1" x14ac:dyDescent="0.25">
      <c r="M95" s="131" t="str">
        <v>j</v>
      </c>
      <c r="N95" s="134" t="str">
        <v>Production system</v>
      </c>
      <c r="O95" s="140"/>
      <c r="P95" s="137"/>
      <c r="Q95" s="131" t="str">
        <v/>
      </c>
      <c r="R95" s="120" t="str">
        <v>Input</v>
      </c>
      <c r="S95" s="131">
        <f>X_Cell_Fertiliser_ProductionSystem</f>
        <v>0</v>
      </c>
    </row>
    <row r="96" spans="4:24" ht="20.100000000000001" customHeight="1" x14ac:dyDescent="0.25">
      <c r="M96" s="131" t="str">
        <v>c</v>
      </c>
      <c r="N96" s="134" t="str">
        <v>Crop type</v>
      </c>
      <c r="O96" s="140"/>
      <c r="P96" s="137"/>
      <c r="Q96" s="131" t="str">
        <v/>
      </c>
      <c r="R96" s="120" t="str">
        <v>Input</v>
      </c>
      <c r="S96" s="131">
        <f>X_Cell_Fertiliser_CropType</f>
        <v>0</v>
      </c>
    </row>
    <row r="97" spans="13:19" ht="20.100000000000001" customHeight="1" x14ac:dyDescent="0.25">
      <c r="M97" s="131" t="str">
        <v>f</v>
      </c>
      <c r="N97" s="134" t="str">
        <v>Inorganic fertiliser type</v>
      </c>
      <c r="O97" s="140"/>
      <c r="P97" s="137"/>
      <c r="Q97" s="131" t="str">
        <v/>
      </c>
      <c r="R97" s="127" t="str">
        <v>Constant</v>
      </c>
      <c r="S97" s="131" t="s">
        <v>728</v>
      </c>
    </row>
    <row r="98" spans="13:19" ht="20.100000000000001" customHeight="1" x14ac:dyDescent="0.25">
      <c r="M98" s="131" t="str">
        <v>ir</v>
      </c>
      <c r="N98" s="134" t="str">
        <v>irrigation method</v>
      </c>
      <c r="O98" s="140"/>
      <c r="P98" s="137"/>
      <c r="Q98" s="131" t="str">
        <v/>
      </c>
      <c r="R98" s="120" t="str">
        <v>Input</v>
      </c>
      <c r="S98" s="131" t="str">
        <f>X_Cell_Fertiliser_IrrigationMethod</f>
        <v>Pasture</v>
      </c>
    </row>
    <row r="99" spans="13:19" ht="20.100000000000001" customHeight="1" x14ac:dyDescent="0.25">
      <c r="M99" s="134" t="str">
        <v>z</v>
      </c>
      <c r="N99" s="134" t="str">
        <v>rainfall zone</v>
      </c>
      <c r="O99" s="140"/>
      <c r="P99" s="140"/>
      <c r="Q99" s="131" t="str">
        <v/>
      </c>
      <c r="R99" s="120" t="str">
        <v>Input</v>
      </c>
      <c r="S99" s="131">
        <f>X_Cell_Site_RainfallZone</f>
        <v>0</v>
      </c>
    </row>
    <row r="100" spans="13:19" ht="20.100000000000001" customHeight="1" x14ac:dyDescent="0.25"/>
    <row r="101" spans="13:19" ht="20.100000000000001" customHeight="1" x14ac:dyDescent="0.25"/>
    <row r="102" spans="13:19" ht="20.100000000000001" customHeight="1" x14ac:dyDescent="0.25">
      <c r="M102" s="121" t="s">
        <v>729</v>
      </c>
    </row>
    <row r="103" spans="13:19" ht="20.100000000000001" customHeight="1" x14ac:dyDescent="0.25">
      <c r="M103" s="122" t="s">
        <v>730</v>
      </c>
    </row>
    <row r="104" spans="13:19" ht="20.100000000000001" customHeight="1" x14ac:dyDescent="0.25">
      <c r="M104" s="123" t="s">
        <v>161</v>
      </c>
      <c r="N104" s="123" t="s">
        <v>731</v>
      </c>
      <c r="O104" s="123" t="s">
        <v>732</v>
      </c>
    </row>
    <row r="105" spans="13:19" ht="20.100000000000001" customHeight="1" x14ac:dyDescent="0.25">
      <c r="M105" s="15" t="s">
        <v>733</v>
      </c>
      <c r="N105" s="15" t="b">
        <f>IF(AND(S96="Maize", NOT(S98="Not irrigated")), TRUE)</f>
        <v>0</v>
      </c>
      <c r="O105" s="15" t="e">
        <f>N49</f>
        <v>#VALUE!</v>
      </c>
    </row>
    <row r="106" spans="13:19" ht="20.100000000000001" customHeight="1" x14ac:dyDescent="0.25">
      <c r="M106" s="15" t="s">
        <v>734</v>
      </c>
      <c r="N106" s="15" t="b">
        <f>IF(AND(S96="Grains", S98="Not irrigated", S99="High rainfall"), TRUE)</f>
        <v>0</v>
      </c>
      <c r="O106" s="15" t="e">
        <f>N63</f>
        <v>#VALUE!</v>
      </c>
    </row>
    <row r="107" spans="13:19" ht="20.100000000000001" customHeight="1" x14ac:dyDescent="0.25">
      <c r="M107" s="15" t="s">
        <v>735</v>
      </c>
      <c r="N107" s="15" t="b">
        <f>IF(S96="Cotton", TRUE)</f>
        <v>0</v>
      </c>
      <c r="O107" s="180" t="e">
        <f>N79</f>
        <v>#VALUE!</v>
      </c>
    </row>
    <row r="108" spans="13:19" ht="20.100000000000001" customHeight="1" x14ac:dyDescent="0.25">
      <c r="M108" s="15" t="s">
        <v>736</v>
      </c>
      <c r="N108" s="15" t="b">
        <f>IF(AND(N105=FALSE, N107=FALSE, N106=FALSE),TRUE)</f>
        <v>1</v>
      </c>
      <c r="O108" s="15" t="e" cm="1">
        <f t="array" ref="O108">Common_InputFunctions.Utility_LookupN2OEFFromProdIrrigationRainfall($S$95,$S$98,$S$99,Table_SourceData_Common_EFN2O[Production system only],Table_SourceData_Common_EFN2O[Irrigation method],Table_SourceData_Common_EFN2O[Rainfall zone],Table_SourceData_Common_EFN2O[EFN2O])</f>
        <v>#N/A</v>
      </c>
    </row>
    <row r="109" spans="13:19" ht="20.100000000000001" customHeight="1" x14ac:dyDescent="0.25"/>
    <row r="110" spans="13:19" ht="20.100000000000001" customHeight="1" x14ac:dyDescent="0.25">
      <c r="M110" s="88" t="s">
        <v>727</v>
      </c>
      <c r="N110" s="91" t="e" cm="1">
        <f t="array" ref="N110">Fertiliser_Equations_InorganicN2O.VEERG_5_1_1_1__1_InorganicFertiliserApplicationN2OEmissions(S92,S93,$S$94)</f>
        <v>#VALUE!</v>
      </c>
      <c r="O110" s="90" t="str">
        <f>$E$47</f>
        <v>t N2O</v>
      </c>
    </row>
    <row r="111" spans="13:19" ht="20.100000000000001" customHeight="1" x14ac:dyDescent="0.25"/>
    <row r="112" spans="13:19" ht="20.100000000000001" customHeight="1" x14ac:dyDescent="0.25">
      <c r="M112" s="131" t="str" cm="1">
        <f t="array" ref="M112:N113">Common_Equations.Common_ConvertN2OToCO2e_Arguments()</f>
        <v>EN2O</v>
      </c>
      <c r="N112" s="134" t="str">
        <v>Nitrous oxide emissions (t N2O)</v>
      </c>
      <c r="O112" s="135"/>
      <c r="P112" s="15" t="e">
        <f>VEERG_5_1_1_1__1_InorganicFertiliserApplicationN2OEmissions_Result_Method2</f>
        <v>#VALUE!</v>
      </c>
    </row>
    <row r="113" spans="13:16" ht="20.100000000000001" customHeight="1" x14ac:dyDescent="0.25">
      <c r="M113" s="131" t="str">
        <v>GWPN2O</v>
      </c>
      <c r="N113" s="134" t="str">
        <v>Global warming potential for nitrous oxide (t CO2-e / t N2O)</v>
      </c>
      <c r="O113" s="135"/>
      <c r="P113" s="15">
        <f>Common_InputFunctions.Utility_LookupValueInTableNumber("N2O",Table_GWPData[Gas],Table_GWPData[CO2-e factor])</f>
        <v>265</v>
      </c>
    </row>
    <row r="114" spans="13:16" ht="20.100000000000001" customHeight="1" x14ac:dyDescent="0.25"/>
    <row r="115" spans="13:16" ht="20.100000000000001" customHeight="1" x14ac:dyDescent="0.25">
      <c r="M115" s="89" t="s">
        <v>493</v>
      </c>
      <c r="N115" s="89" t="e" cm="1">
        <f t="array" ref="N115">Common_Equations.Common_ConvertN2OToCO2e(P112,P113)</f>
        <v>#VALUE!</v>
      </c>
      <c r="O115" s="94" t="str" cm="1">
        <f t="array" ref="O115">Common_Equations.Common_ConvertN2OToCO2e_Unit()</f>
        <v>t CO2e</v>
      </c>
    </row>
    <row r="116" spans="13:16" ht="20.100000000000001" customHeight="1" x14ac:dyDescent="0.25"/>
    <row r="117" spans="13:16" ht="20.100000000000001" customHeight="1" x14ac:dyDescent="0.25"/>
    <row r="118" spans="13:16" ht="20.100000000000001" customHeight="1" x14ac:dyDescent="0.25"/>
    <row r="119" spans="13:16" ht="20.100000000000001" customHeight="1" x14ac:dyDescent="0.25"/>
    <row r="120" spans="13:16" ht="20.100000000000001" customHeight="1" x14ac:dyDescent="0.25"/>
    <row r="121" spans="13:16" ht="20.100000000000001" customHeight="1" x14ac:dyDescent="0.25"/>
    <row r="122" spans="13:16" ht="20.100000000000001" customHeight="1" x14ac:dyDescent="0.25"/>
    <row r="123" spans="13:16" ht="20.100000000000001" customHeight="1" x14ac:dyDescent="0.25"/>
    <row r="124" spans="13:16" ht="20.100000000000001" customHeight="1" x14ac:dyDescent="0.25"/>
    <row r="125" spans="13:16" ht="20.100000000000001" customHeight="1" x14ac:dyDescent="0.25"/>
    <row r="126" spans="13:16" ht="20.100000000000001" customHeight="1" x14ac:dyDescent="0.25"/>
    <row r="127" spans="13:16" ht="20.100000000000001" customHeight="1" x14ac:dyDescent="0.25"/>
    <row r="128" spans="13:16"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E269 E228 R167:W167 G132 I129:I133 F134:I134 F129:F132 H128:H132 G129 F148:I148 I149 F150:I150" xr:uid="{72F5F874-A321-4C7D-83D2-541922152ABB}"/>
  </dataValidation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0561-7EBB-4689-BBFA-153534ACD5D2}">
  <sheetPr>
    <tabColor rgb="FF008000"/>
  </sheetPr>
  <dimension ref="A1:U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737</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5">
      <c r="A6" s="5" t="str">
        <f>HYPERLINK("#'Results'!A1", "Results")</f>
        <v>Results</v>
      </c>
      <c r="D6" s="17" t="str" cm="1">
        <f t="array" ref="D6">Fertiliser_Equations_InorganicCO2.VEERG_5_1_1_3__2_MassOfUreaInInorganicFertiliser_Source()</f>
        <v>VEERG 2026: 5.1.1.3, Equation (2)</v>
      </c>
    </row>
    <row r="7" spans="1:21" ht="20.100000000000001" customHeight="1" x14ac:dyDescent="0.25">
      <c r="D7" s="117" t="s">
        <v>343</v>
      </c>
      <c r="E7" s="117" t="str" cm="1">
        <f t="array" aca="1" ref="E7" ca="1">Common_InputFunctions.Utility_DisplayFunctionName(G19)</f>
        <v>=Fertiliser_Equations_InorganicCO2.VEERG_5_1_1_3__2_MassOfUreaInInorganicFertiliser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Fertiliser_Equations_InorganicCO2.VEERG_5_1_1_3__2_MassOfUreaInInorganicFertiliser_Variable()</f>
        <v>MU_jf</v>
      </c>
    </row>
    <row r="11" spans="1:21" ht="20.100000000000001" customHeight="1" x14ac:dyDescent="0.25">
      <c r="A11" s="5" t="str">
        <f>HYPERLINK("#'Input - Site'!A1", "Site")</f>
        <v>Site</v>
      </c>
      <c r="D11" s="76" t="s">
        <v>118</v>
      </c>
      <c r="E11" s="9" t="str" cm="1">
        <f t="array" ref="E11">Fertiliser_Equations_InorganicCO2.VEERG_5_1_1_3__2_MassOfUreaInInorganicFertiliser_Unit()</f>
        <v>kg urea</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31" t="str" cm="1">
        <f t="array" ref="D13:E14">_xlfn.CHOOSECOLS(Fertiliser_Equations_InorganicCO2.VEERG_5_1_1_3__2_MassOfUreaInInorganicFertiliser_Arguments(), 1, 2)</f>
        <v>TM_jf</v>
      </c>
      <c r="E13" s="134" t="str">
        <v>total mass of inorganic fertiliser type f applied to production system j</v>
      </c>
      <c r="F13" s="137"/>
      <c r="G13" s="131" t="str" cm="1">
        <f t="array" ref="G13:H14">_xlfn.CHOOSECOLS(Fertiliser_Equations_InorganicCO2.VEERG_5_1_1_3__2_MassOfUreaInInorganicFertiliser_Arguments(), 3, 4)</f>
        <v>kg</v>
      </c>
      <c r="H13" s="120" t="str">
        <v>Input</v>
      </c>
      <c r="I13" s="126" t="str" cm="1">
        <f t="array" aca="1" ref="I13" ca="1">HYPERLINK(Common_InputFunctions.Utility_SourceHyperlink($D$16), $D$16)</f>
        <v>Table_MU_j_f</v>
      </c>
    </row>
    <row r="14" spans="1:21" ht="20.100000000000001" customHeight="1" x14ac:dyDescent="0.25">
      <c r="A14" s="5" t="str">
        <f>HYPERLINK("#'Input - Dairy cattle purchases'!A1", "Dairy cattle purchases")</f>
        <v>Dairy cattle purchases</v>
      </c>
      <c r="D14" s="131" t="str">
        <v>FU_f</v>
      </c>
      <c r="E14" s="134" t="str">
        <v>fraction of urea in fertiliser type f</v>
      </c>
      <c r="F14" s="137"/>
      <c r="G14" s="131" t="str">
        <v>kg urea/kg</v>
      </c>
      <c r="H14" s="127" t="str">
        <v>Lookup</v>
      </c>
      <c r="I14" s="126" t="str" cm="1">
        <f t="array" aca="1" ref="I14" ca="1">HYPERLINK(Common_InputFunctions.Utility_SourceHyperlink($D$16), $D$16)</f>
        <v>Table_MU_j_f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738</v>
      </c>
    </row>
    <row r="17" spans="1:7" ht="20.100000000000001" customHeight="1" x14ac:dyDescent="0.25">
      <c r="A17" s="5" t="str">
        <f>HYPERLINK("#'Input - Fertiliser'!A1", "Fertiliser")</f>
        <v>Fertiliser</v>
      </c>
      <c r="D17" s="122" t="s">
        <v>739</v>
      </c>
    </row>
    <row r="18" spans="1:7" ht="20.100000000000001" customHeight="1" x14ac:dyDescent="0.25">
      <c r="A18" s="5" t="str">
        <f>HYPERLINK("#'Input - Fuel'!A1", "Fuel")</f>
        <v>Fuel</v>
      </c>
      <c r="D18" s="123" t="s">
        <v>712</v>
      </c>
      <c r="E18" s="81" t="s">
        <v>713</v>
      </c>
      <c r="F18" s="123" t="s">
        <v>740</v>
      </c>
      <c r="G18" s="123" t="s">
        <v>741</v>
      </c>
    </row>
    <row r="19" spans="1:7" ht="20.100000000000001" customHeight="1" x14ac:dyDescent="0.25">
      <c r="A19" s="5" t="str">
        <f>HYPERLINK("#'Input - Electricity'!A1", "Electricity")</f>
        <v>Electricity</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5">
      <c r="A20" s="5" t="str">
        <f>HYPERLINK("#'Input - Common farm inputs'!A1", "Common farm inputs")</f>
        <v>Common farm inputs</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5">
      <c r="A21" s="5" t="str">
        <f>HYPERLINK("#'Input - Crop pasture farm input'!A1", "Crop pasture farm input")</f>
        <v>Crop pasture farm input</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0</v>
      </c>
    </row>
    <row r="22" spans="1:7" ht="20.100000000000001" customHeight="1" x14ac:dyDescent="0.25">
      <c r="A22" s="5" t="str">
        <f>HYPERLINK("#'Input - Livestock farm Inputs'!A1", "Livestock farm Inputs")</f>
        <v>Livestock farm Inputs</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5">
      <c r="A23" s="5" t="str">
        <f>HYPERLINK("#'Input - Freight'!A1", "Freight")</f>
        <v>Freight</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5">
      <c r="A24" s="5" t="str">
        <f>HYPERLINK("#'Input - Solid waste'!A1", "Solid waste")</f>
        <v>Solid waste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5">
      <c r="A25" s="5" t="str">
        <f>HYPERLINK("#'Input - Manure sent off-site'!A1", "Manure sent off-site")</f>
        <v>Manure sent off-site</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5">
      <c r="A26" s="5" t="str">
        <f>HYPERLINK("#'Input - Data quality'!A1", "Data quality")</f>
        <v>Data quality</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5">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5">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5">
      <c r="A29" s="6" t="s">
        <v>2</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5">
      <c r="A30" s="5" t="str">
        <f>HYPERLINK("#'3.3.1.1-2 Enteric Methane'!A1", "3.3.1.1-2 Enteric methane")</f>
        <v>3.3.1.1-2 Enteric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5">
      <c r="A31" s="5" t="str">
        <f>HYPERLINK("#'4.3.1.1-2 Methane'!A1", "4.3.1.1-2 Manure methane")</f>
        <v>4.3.1.1-2 Manure methane</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5">
      <c r="A32" s="5" t="str">
        <f>HYPERLINK("#'4.3.1.3-4 Direct N20'!A1", "4.3.1.3-4 Direct N20")</f>
        <v>4.3.1.3-4 Direct N20</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5">
      <c r="A33" s="5" t="str">
        <f>HYPERLINK("#'4.3.1.5 Atmos deposition'!A1", "4.3.1.5 Atmos deposition")</f>
        <v>4.3.1.5 Atmos deposition</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5">
      <c r="A34" s="5" t="str">
        <f>HYPERLINK("#'4.3.1.6-7 Leaching and runoff'!A1", "4.3.1.6-7 Leaching &amp; runoff")</f>
        <v>4.3.1.6-7 Leaching &amp; runoff</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5">
      <c r="A35" s="5" t="str">
        <f>HYPERLINK("#'4.3.1.8 Manure applied to soils'!A1", "4.3.1.8 Manure applied to soils")</f>
        <v>4.3.1.8 Manure applied to soils</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5">
      <c r="A36" s="5" t="str">
        <f>HYPERLINK("#'4.3.1.9 Soil direct N2O'!A1", "4.3.1.9 Soil direct N2O")</f>
        <v>4.3.1.9 Soil direct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5">
      <c r="A37" s="5" t="str">
        <f>HYPERLINK("#'4.3.1.10-11 Soil Atmos Dep'!A1", "4.3.1.10-11 Soil Atmos Deposition")</f>
        <v>4.3.1.10-11 Soil Atmos Deposition</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5">
      <c r="A38" s="5" t="str">
        <f>HYPERLINK("#'4.3.1.12-13 Soil leach runoff'!A1", "4.3.1.12-13 Soil leach &amp; runoff")</f>
        <v>4.3.1.12-13 Soil leach &amp; runoff</v>
      </c>
    </row>
    <row r="39" spans="1:12" ht="20.100000000000001" customHeight="1" x14ac:dyDescent="0.25">
      <c r="A39" s="5" t="str">
        <f>HYPERLINK("#'5.1.1.1-2 Inorganic fert N2O'!A1", "5.1.1.1-2 Inorganic fert N2O")</f>
        <v>5.1.1.1-2 Inorganic fert N2O</v>
      </c>
    </row>
    <row r="40" spans="1:12" ht="20.100000000000001" customHeight="1" x14ac:dyDescent="0.25">
      <c r="A40" s="118" t="str">
        <f>HYPERLINK("#'5.1.1.3-4 Inorganic fert CO2'!A1", "5.1.1.3-4 Inorganic fert CO2")</f>
        <v>5.1.1.3-4 Inorganic fert CO2</v>
      </c>
      <c r="C40" s="89"/>
      <c r="D40" s="89"/>
      <c r="E40" s="89"/>
      <c r="F40" s="89"/>
      <c r="G40" s="89"/>
      <c r="H40" s="89"/>
      <c r="I40" s="89"/>
      <c r="J40" s="89"/>
      <c r="K40" s="89"/>
      <c r="L40" s="89"/>
    </row>
    <row r="41" spans="1:12" ht="20.100000000000001" customHeight="1" x14ac:dyDescent="0.25">
      <c r="A41" s="5" t="str">
        <f>HYPERLINK("#'5.2.1.1-2 Organic Fert N2O'!A1", "5.2.1.1-2 Organic fert N2O")</f>
        <v>5.2.1.1-2 Organic fert N2O</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HYPERLINK("#'5.3.1.1-2 Lime CO2'!A1", "5.3.1.1-2 Lime CO2")</f>
        <v>5.3.1.1-2 Lime CO2</v>
      </c>
      <c r="D42" s="17" t="str" cm="1">
        <f t="array" ref="D42">Fertiliser_Equations_InorganicCO2.VEERG_5_1_1_3__1_InorganicFertiliserApplicationCO2Emissions_Source()</f>
        <v>VEERG 2026: 5.1.1.3, Equation (1)</v>
      </c>
    </row>
    <row r="43" spans="1:12" ht="20.100000000000001" customHeight="1" x14ac:dyDescent="0.25">
      <c r="A43" s="5" t="str">
        <f>HYPERLINK("#'5.4.1.1-4 Atmos deposition'!A1", "5.4.1.1-4 Atmos. deposition")</f>
        <v>5.4.1.1-4 Atmos. deposition</v>
      </c>
      <c r="D43" s="117" t="s">
        <v>343</v>
      </c>
      <c r="E43" s="117"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HYPERLINK("#'5.5.1.1-2 Leaching and runoff'!A1", "5.5.1.1-2 Leaching &amp; runoff")</f>
        <v>5.5.1.1-2 Leaching &amp; runoff</v>
      </c>
    </row>
    <row r="45" spans="1:12" ht="20.100000000000001" customHeight="1" x14ac:dyDescent="0.25">
      <c r="A45" s="5" t="str">
        <f>HYPERLINK("#'6.2.1.1-2 Pasture residue N2O'!A1", "6.2.1.1-2 Pasture residue N2O")</f>
        <v>6.2.1.1-2 Pasture residue N2O</v>
      </c>
    </row>
    <row r="46" spans="1:12" ht="20.100000000000001" customHeight="1" x14ac:dyDescent="0.25">
      <c r="A46" s="5" t="str">
        <f>HYPERLINK("#'6.3.1.1-2 Leach runoff pasture'!A1", "6.3.1.1-2 Leach &amp; runoff (pasture)")</f>
        <v>6.3.1.1-2 Leach &amp; runoff (pasture)</v>
      </c>
      <c r="D46" s="76" t="s">
        <v>344</v>
      </c>
      <c r="E46" s="1" t="str" cm="1">
        <f t="array" ref="E46">Fertiliser_Equations_InorganicCO2.VEERG_5_1_1_3__1_InorganicFertiliserApplicationCO2Emissions_Variable()</f>
        <v>E_CO2</v>
      </c>
    </row>
    <row r="47" spans="1:12" ht="20.100000000000001" customHeight="1" x14ac:dyDescent="0.25">
      <c r="A47" s="5" t="str">
        <f>HYPERLINK("#'8.1.1.1-2 Transport fuel'!A1", "8.1.1.1-2 Transport fuel")</f>
        <v>8.1.1.1-2 Transport fuel</v>
      </c>
      <c r="D47" s="76" t="s">
        <v>118</v>
      </c>
      <c r="E47" s="9" t="str" cm="1">
        <f t="array" ref="E47">Fertiliser_Equations_InorganicCO2.VEERG_5_1_1_3__1_InorganicFertiliserApplicationCO2Emissions_Unit()</f>
        <v>t CO2</v>
      </c>
    </row>
    <row r="48" spans="1:12" ht="20.100000000000001" customHeight="1" x14ac:dyDescent="0.25">
      <c r="A48" s="5" t="str">
        <f>HYPERLINK("#'8.2.1.1-2 Stationary fuel'!A1", "8.2.1.1-2 Stationary fuel")</f>
        <v>8.2.1.1-2 Stationary fuel</v>
      </c>
    </row>
    <row r="49" spans="1:9" ht="20.100000000000001" customHeight="1" x14ac:dyDescent="0.25">
      <c r="A49" s="5" t="str">
        <f>HYPERLINK("#'10.1.1-2 Solid waste treatment'!A1", "10.1.1.1-2 Solid waste")</f>
        <v>10.1.1.1-2 Solid waste</v>
      </c>
      <c r="D49" s="131" t="str" cm="1">
        <f t="array" ref="D49:E53">_xlfn.CHOOSECOLS(Fertiliser_Equations_InorganicCO2.VEERG_5_1_1_3__1_InorganicFertiliserApplicationCO2Emissions_Arguments(), 1, 2)</f>
        <v>MU_jf</v>
      </c>
      <c r="E49" s="134" t="str">
        <v>mass of urea of inorganic fertiliser type f applied to production system j</v>
      </c>
      <c r="F49" s="137"/>
      <c r="G49" s="131" t="str" cm="1">
        <f t="array" ref="G49:H53">_xlfn.CHOOSECOLS(Fertiliser_Equations_InorganicCO2.VEERG_5_1_1_3__1_InorganicFertiliserApplicationCO2Emissions_Arguments(), 3,4)</f>
        <v>kg urea</v>
      </c>
      <c r="H49" s="127" t="str">
        <v>Calculated</v>
      </c>
      <c r="I49" s="126" t="str" cm="1">
        <f t="array" aca="1" ref="I49" ca="1">HYPERLINK(Common_InputFunctions.Utility_SourceHyperlink($D$16), $D$16)</f>
        <v>Table_MU_j_f</v>
      </c>
    </row>
    <row r="50" spans="1:9" ht="20.100000000000001" customHeight="1" x14ac:dyDescent="0.25">
      <c r="A50" s="5" t="str">
        <f>HYPERLINK("#'14.1.1-2 Purchased electricity'!A1", "14.1.1-2 Purchased electricity")</f>
        <v>14.1.1-2 Purchased electricity</v>
      </c>
      <c r="D50" s="131" t="str">
        <v>EF_ureaCO2</v>
      </c>
      <c r="E50" s="134" t="str">
        <v>emission factor for carbon emissions from urea-based fertilisers</v>
      </c>
      <c r="F50" s="137"/>
      <c r="G50" s="131" t="str">
        <v>kg C/kg urea</v>
      </c>
      <c r="H50" s="127" t="str">
        <v>Constant</v>
      </c>
      <c r="I50" s="131">
        <f>Fertiliser_EFUreaCO2_Data</f>
        <v>0.2</v>
      </c>
    </row>
    <row r="51" spans="1:9" ht="20.100000000000001" customHeight="1" x14ac:dyDescent="0.25">
      <c r="A51" s="5" t="str">
        <f>HYPERLINK("#'15 Scope 3'!A1", "15 Scope 3")</f>
        <v>15 Scope 3</v>
      </c>
      <c r="D51" s="131" t="str">
        <v>C_CO2</v>
      </c>
      <c r="E51" s="134" t="str">
        <v>factor to convert elemental mass of carbon to molecular mass of carbon dioxide</v>
      </c>
      <c r="F51" s="137"/>
      <c r="G51" s="131" t="str">
        <v/>
      </c>
      <c r="H51" s="127" t="str">
        <v>Constant</v>
      </c>
      <c r="I51" s="131">
        <f>Common_InputFunctions.Utility_LookupValueInTableNumber("CO2",Table_GasToMolecularConversionFactor[Gas], Table_GasToMolecularConversionFactor[Conversion factor combined])</f>
        <v>3.6666666666666665</v>
      </c>
    </row>
    <row r="52" spans="1:9" ht="20.100000000000001" customHeight="1" x14ac:dyDescent="0.25">
      <c r="A52" s="5" t="str">
        <f>HYPERLINK("#'Calcs - Manure sent off-site'!A1", "Calcs - Manure sent off-site")</f>
        <v>Calcs - Manure sent off-site</v>
      </c>
      <c r="D52" s="131" t="str">
        <v>j</v>
      </c>
      <c r="E52" s="134" t="str">
        <v>Production system</v>
      </c>
      <c r="F52" s="137"/>
      <c r="G52" s="131" t="str">
        <v/>
      </c>
      <c r="H52" s="120" t="str">
        <v>Input</v>
      </c>
      <c r="I52" s="131">
        <f>X_Cell_Fertiliser_ProductionSystem</f>
        <v>0</v>
      </c>
    </row>
    <row r="53" spans="1:9" ht="20.100000000000001" customHeight="1" x14ac:dyDescent="0.25">
      <c r="D53" s="131" t="str">
        <v>f</v>
      </c>
      <c r="E53" s="134" t="str">
        <v>Inorganic fertiliser type</v>
      </c>
      <c r="F53" s="137"/>
      <c r="G53" s="131" t="str">
        <v/>
      </c>
      <c r="H53" s="127" t="str">
        <v>Lookup</v>
      </c>
      <c r="I53" s="126" t="str" cm="1">
        <f t="array" aca="1" ref="I53" ca="1">HYPERLINK(Common_InputFunctions.Utility_SourceHyperlink($D$16), $D$16)</f>
        <v>Table_MU_j_f</v>
      </c>
    </row>
    <row r="54" spans="1:9" ht="20.100000000000001" customHeight="1" x14ac:dyDescent="0.25"/>
    <row r="55" spans="1:9" ht="20.100000000000001" customHeight="1" x14ac:dyDescent="0.25">
      <c r="A55" s="83" t="s">
        <v>1</v>
      </c>
      <c r="D55" s="121" t="s">
        <v>742</v>
      </c>
    </row>
    <row r="56" spans="1:9" ht="20.100000000000001" customHeight="1" x14ac:dyDescent="0.25">
      <c r="A56" s="5" t="str">
        <f>HYPERLINK("#'Constants - Dairy'!A1", "Constants - Dairy")</f>
        <v>Constants - Dairy</v>
      </c>
      <c r="D56" s="122" t="s">
        <v>743</v>
      </c>
    </row>
    <row r="57" spans="1:9" ht="20.100000000000001" customHeight="1" x14ac:dyDescent="0.25">
      <c r="A57" s="5" t="str">
        <f>HYPERLINK("#'Constants - Ag Residue'!A1", "Constants - Ag residue")</f>
        <v>Constants - Ag residue</v>
      </c>
      <c r="D57" s="123" t="s">
        <v>712</v>
      </c>
      <c r="E57" s="123" t="s">
        <v>724</v>
      </c>
    </row>
    <row r="58" spans="1:9" ht="20.100000000000001" customHeight="1" x14ac:dyDescent="0.25">
      <c r="A58" s="5" t="str">
        <f>HYPERLINK("#'Constants - Common Livestock'!A1", "Constants - Common Livestock")</f>
        <v>Constants - Common Livestock</v>
      </c>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5">
      <c r="A59" s="5" t="str">
        <f>HYPERLINK("#'Constants - Electricity'!A1", "Constants - Electricity")</f>
        <v>Constants - Electricity</v>
      </c>
      <c r="D59" s="15" t="str">
        <v>Diammonium phosphate (DAP)</v>
      </c>
      <c r="E59" s="15" cm="1">
        <f t="array" ref="E59">Fertiliser_Equations_InorganicCO2.VEERG_5_1_1_3__1_InorganicFertiliserApplicationCO2Emissions(G20,$I$50,$I$51)</f>
        <v>0</v>
      </c>
    </row>
    <row r="60" spans="1:9" ht="20.100000000000001" customHeight="1" x14ac:dyDescent="0.25">
      <c r="A60" s="5" t="str">
        <f>HYPERLINK("#'Constants - Fertiliser'!A1", "Constants - Fertiliser")</f>
        <v>Constants - Fertiliser</v>
      </c>
      <c r="D60" s="15" t="str">
        <v>Urea</v>
      </c>
      <c r="E60" s="15" cm="1">
        <f t="array" ref="E60">Fertiliser_Equations_InorganicCO2.VEERG_5_1_1_3__1_InorganicFertiliserApplicationCO2Emissions(G21,$I$50,$I$51)</f>
        <v>0</v>
      </c>
    </row>
    <row r="61" spans="1:9" ht="20.100000000000001" customHeight="1" x14ac:dyDescent="0.25">
      <c r="A61" s="5" t="str">
        <f>HYPERLINK("#'Constants - Fuel'!A1", "Constants - Fuel")</f>
        <v>Constants - Fuel</v>
      </c>
      <c r="D61" s="15" t="str">
        <v>Sulphate of ammonia (SOA)</v>
      </c>
      <c r="E61" s="15" cm="1">
        <f t="array" ref="E61">Fertiliser_Equations_InorganicCO2.VEERG_5_1_1_3__1_InorganicFertiliserApplicationCO2Emissions(G22,$I$50,$I$51)</f>
        <v>0</v>
      </c>
    </row>
    <row r="62" spans="1:9" ht="20.100000000000001" customHeight="1" x14ac:dyDescent="0.25">
      <c r="A62" s="5" t="str">
        <f>HYPERLINK("#'Constants - Scope 3'!A1", "Constants - Scope 3")</f>
        <v>Constants - Scope 3</v>
      </c>
      <c r="D62" s="15" t="str">
        <v>Urea-ammonium nitrate (UAN)</v>
      </c>
      <c r="E62" s="15" cm="1">
        <f t="array" ref="E62">Fertiliser_Equations_InorganicCO2.VEERG_5_1_1_3__1_InorganicFertiliserApplicationCO2Emissions(G23,$I$50,$I$51)</f>
        <v>0</v>
      </c>
    </row>
    <row r="63" spans="1:9" ht="20.100000000000001" customHeight="1" x14ac:dyDescent="0.25">
      <c r="A63" s="5" t="str">
        <f>HYPERLINK("#'Constants - Common'!A1", "Constants - Common")</f>
        <v>Constants - Common</v>
      </c>
      <c r="D63" s="15" t="str">
        <v>Ammonium nitrate (AN)</v>
      </c>
      <c r="E63" s="15" cm="1">
        <f t="array" ref="E63">Fertiliser_Equations_InorganicCO2.VEERG_5_1_1_3__1_InorganicFertiliserApplicationCO2Emissions(G24,$I$50,$I$51)</f>
        <v>0</v>
      </c>
    </row>
    <row r="64" spans="1:9" ht="20.100000000000001" customHeight="1" x14ac:dyDescent="0.25">
      <c r="A64" s="5" t="str">
        <f>HYPERLINK("#'Constants - Solid Waste'!A1", "Constants - Solid Waste")</f>
        <v>Constants - Solid Waste</v>
      </c>
      <c r="D64" s="15" t="str">
        <v>Calcium ammonium nitrate (CAN)</v>
      </c>
      <c r="E64" s="15" cm="1">
        <f t="array" ref="E64">Fertiliser_Equations_InorganicCO2.VEERG_5_1_1_3__1_InorganicFertiliserApplicationCO2Emissions(G25,$I$50,$I$51)</f>
        <v>0</v>
      </c>
    </row>
    <row r="65" spans="1:6" ht="20.100000000000001" customHeight="1" x14ac:dyDescent="0.25">
      <c r="A65" s="5" t="str">
        <f>HYPERLINK("#'Acknowledgements'!A1", "Acknowledgements")</f>
        <v>Acknowledgements</v>
      </c>
      <c r="D65" s="15" t="str">
        <v>Nitrogen - Ammoniacal</v>
      </c>
      <c r="E65" s="15" cm="1">
        <f t="array" ref="E65">Fertiliser_Equations_InorganicCO2.VEERG_5_1_1_3__1_InorganicFertiliserApplicationCO2Emissions(G26,$I$50,$I$51)</f>
        <v>0</v>
      </c>
    </row>
    <row r="66" spans="1:6" ht="20.100000000000001" customHeight="1" x14ac:dyDescent="0.25">
      <c r="D66" s="15" t="str">
        <v>Nitrogen - Nitrate</v>
      </c>
      <c r="E66" s="15" cm="1">
        <f t="array" ref="E66">Fertiliser_Equations_InorganicCO2.VEERG_5_1_1_3__1_InorganicFertiliserApplicationCO2Emissions(G27,$I$50,$I$51)</f>
        <v>0</v>
      </c>
    </row>
    <row r="67" spans="1:6" ht="20.100000000000001" customHeight="1" x14ac:dyDescent="0.25">
      <c r="D67" s="15" t="str">
        <v>Nitrogen - Generic</v>
      </c>
      <c r="E67" s="15" cm="1">
        <f t="array" ref="E67">Fertiliser_Equations_InorganicCO2.VEERG_5_1_1_3__1_InorganicFertiliserApplicationCO2Emissions(G28,$I$50,$I$51)</f>
        <v>0</v>
      </c>
    </row>
    <row r="68" spans="1:6" ht="20.100000000000001" customHeight="1" x14ac:dyDescent="0.25">
      <c r="D68" s="15" t="str">
        <v>Phosphorus - Generic</v>
      </c>
      <c r="E68" s="15" cm="1">
        <f t="array" ref="E68">Fertiliser_Equations_InorganicCO2.VEERG_5_1_1_3__1_InorganicFertiliserApplicationCO2Emissions(G29,$I$50,$I$51)</f>
        <v>0</v>
      </c>
    </row>
    <row r="69" spans="1:6" ht="20.100000000000001" customHeight="1" x14ac:dyDescent="0.25">
      <c r="D69" s="15" t="str">
        <v>Potassium - Generic</v>
      </c>
      <c r="E69" s="15" cm="1">
        <f t="array" ref="E69">Fertiliser_Equations_InorganicCO2.VEERG_5_1_1_3__1_InorganicFertiliserApplicationCO2Emissions(G30,$I$50,$I$51)</f>
        <v>0</v>
      </c>
    </row>
    <row r="70" spans="1:6" ht="20.100000000000001" customHeight="1" x14ac:dyDescent="0.25">
      <c r="D70" s="15" t="str">
        <v>Sulfur - Generic</v>
      </c>
      <c r="E70" s="15" cm="1">
        <f t="array" ref="E70">Fertiliser_Equations_InorganicCO2.VEERG_5_1_1_3__1_InorganicFertiliserApplicationCO2Emissions(G31,$I$50,$I$51)</f>
        <v>0</v>
      </c>
    </row>
    <row r="71" spans="1:6" ht="20.100000000000001" customHeight="1" x14ac:dyDescent="0.25">
      <c r="D71" s="15" t="str">
        <v>Zinc - Generic</v>
      </c>
      <c r="E71" s="15" cm="1">
        <f t="array" ref="E71">Fertiliser_Equations_InorganicCO2.VEERG_5_1_1_3__1_InorganicFertiliserApplicationCO2Emissions(G32,$I$50,$I$51)</f>
        <v>0</v>
      </c>
    </row>
    <row r="72" spans="1:6" ht="20.100000000000001" customHeight="1" x14ac:dyDescent="0.25">
      <c r="D72" s="15" t="str">
        <v>Muriate of potash (MOP)</v>
      </c>
      <c r="E72" s="15" cm="1">
        <f t="array" ref="E72">Fertiliser_Equations_InorganicCO2.VEERG_5_1_1_3__1_InorganicFertiliserApplicationCO2Emissions(G33,$I$50,$I$51)</f>
        <v>0</v>
      </c>
    </row>
    <row r="73" spans="1:6" ht="20.100000000000001" customHeight="1" x14ac:dyDescent="0.25">
      <c r="D73" s="15" t="str">
        <v>Double superphosphate</v>
      </c>
      <c r="E73" s="15" cm="1">
        <f t="array" ref="E73">Fertiliser_Equations_InorganicCO2.VEERG_5_1_1_3__1_InorganicFertiliserApplicationCO2Emissions(G34,$I$50,$I$51)</f>
        <v>0</v>
      </c>
    </row>
    <row r="74" spans="1:6" ht="20.100000000000001" customHeight="1" x14ac:dyDescent="0.25">
      <c r="D74" s="15" t="str">
        <v>Single superphosphate (SSP)</v>
      </c>
      <c r="E74" s="15" cm="1">
        <f t="array" ref="E74">Fertiliser_Equations_InorganicCO2.VEERG_5_1_1_3__1_InorganicFertiliserApplicationCO2Emissions(G35,$I$50,$I$51)</f>
        <v>0</v>
      </c>
    </row>
    <row r="75" spans="1:6" ht="20.100000000000001" customHeight="1" x14ac:dyDescent="0.25">
      <c r="D75" s="15" t="str">
        <v>Ammonia</v>
      </c>
      <c r="E75" s="15" cm="1">
        <f t="array" ref="E75">Fertiliser_Equations_InorganicCO2.VEERG_5_1_1_3__1_InorganicFertiliserApplicationCO2Emissions(G36,$I$50,$I$51)</f>
        <v>0</v>
      </c>
    </row>
    <row r="76" spans="1:6" ht="20.100000000000001" customHeight="1" x14ac:dyDescent="0.25">
      <c r="D76" s="15" t="str">
        <v>Calcium nitrate</v>
      </c>
      <c r="E76" s="15" cm="1">
        <f t="array" ref="E76">Fertiliser_Equations_InorganicCO2.VEERG_5_1_1_3__1_InorganicFertiliserApplicationCO2Emissions(G37,$I$50,$I$51)</f>
        <v>0</v>
      </c>
    </row>
    <row r="77" spans="1:6" ht="20.100000000000001" customHeight="1" x14ac:dyDescent="0.25"/>
    <row r="78" spans="1:6" ht="20.100000000000001" customHeight="1" x14ac:dyDescent="0.25">
      <c r="D78" s="88" t="s">
        <v>744</v>
      </c>
      <c r="E78" s="91">
        <f>SUM(E58:E76)</f>
        <v>0</v>
      </c>
      <c r="F78" s="90"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B394C-68D3-461B-A2E3-C52214EDBDE8}">
  <sheetPr>
    <tabColor rgb="FF008000"/>
  </sheetPr>
  <dimension ref="A1:U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745</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A6" s="5" t="str">
        <f>HYPERLINK("#'Results'!A1", "Results")</f>
        <v>Results</v>
      </c>
      <c r="D6" s="17" t="str" cm="1">
        <f t="array" ref="D6">Fertiliser_Equations_OrganicN2O.VEERG_5_2_1_1__2_MassOfNitrogenInOrganicFertiliser_Source()</f>
        <v>VEERG 2026: 5.2.1.1, Equation (2)</v>
      </c>
    </row>
    <row r="7" spans="1:21" ht="20.100000000000001" customHeight="1" x14ac:dyDescent="0.25">
      <c r="D7" s="117" t="s">
        <v>343</v>
      </c>
      <c r="E7" s="117" t="str" cm="1">
        <f t="array" aca="1" ref="E7" ca="1">Common_InputFunctions.Utility_DisplayFunctionName($I$20)</f>
        <v>=Fertiliser_Equations_OrganicN2O.VEERG_5_2_1_1__2_MassOfNitrogenInOrganicFertiliser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Fertiliser_Equations_OrganicN2O.VEERG_5_2_1_1__2_MassOfNitrogenInOrganicFertiliser_Variable()</f>
        <v>MNSoil_jf</v>
      </c>
    </row>
    <row r="11" spans="1:21" ht="20.100000000000001" customHeight="1" x14ac:dyDescent="0.25">
      <c r="A11" s="5" t="str">
        <f>HYPERLINK("#'Input - Site'!A1", "Site")</f>
        <v>Site</v>
      </c>
      <c r="D11" s="76" t="s">
        <v>118</v>
      </c>
      <c r="E11" s="9" t="str" cm="1">
        <f t="array" ref="E11">Fertiliser_Equations_OrganicN2O.VEERG_5_2_1_1__2_MassOfNitrogenInOrganicFertiliser_Unit()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31" t="str" cm="1">
        <f t="array" ref="D13:E15">_xlfn.CHOOSECOLS(Fertiliser_Equations_OrganicN2O.VEERG_5_2_1_1__2_MassOfNitrogenInOrganicFertiliser_Arguments(), 1, 2)</f>
        <v>M_organicjf</v>
      </c>
      <c r="E13" s="134" t="str">
        <v>mass of organic fertiliser type f applied to production system j</v>
      </c>
      <c r="F13" s="137"/>
      <c r="G13" s="119" t="str" cm="1">
        <f t="array" ref="G13:H15">_xlfn.CHOOSECOLS(Fertiliser_Equations_OrganicN2O.VEERG_5_2_1_1__2_MassOfNitrogenInOrganicFertiliser_Arguments(), 3,4)</f>
        <v>kg</v>
      </c>
      <c r="H13" s="120" t="str">
        <v>Input</v>
      </c>
      <c r="I13" s="126" t="str" cm="1">
        <f t="array" aca="1" ref="I13" ca="1">HYPERLINK(Common_InputFunctions.Utility_SourceHyperlink($D$17), $D$17)</f>
        <v>Table_MNSoil_j_f</v>
      </c>
    </row>
    <row r="14" spans="1:21" ht="20.100000000000001" customHeight="1" x14ac:dyDescent="0.25">
      <c r="A14" s="5" t="str">
        <f>HYPERLINK("#'Input - Dairy cattle purchases'!A1", "Dairy cattle purchases")</f>
        <v>Dairy cattle purchases</v>
      </c>
      <c r="D14" s="131" t="str">
        <v>FN_organicf</v>
      </c>
      <c r="E14" s="134" t="str">
        <v>nitrogen fraction of organic fertiliser type f</v>
      </c>
      <c r="F14" s="137"/>
      <c r="G14" s="119" t="str">
        <v>kg N/kg</v>
      </c>
      <c r="H14" s="120" t="str">
        <v>Input</v>
      </c>
      <c r="I14" s="126" t="str" cm="1">
        <f t="array" aca="1" ref="I14" ca="1">HYPERLINK(Common_InputFunctions.Utility_SourceHyperlink($D$17), $D$17)</f>
        <v>Table_MNSoil_j_f</v>
      </c>
    </row>
    <row r="15" spans="1:21" ht="20.100000000000001" customHeight="1" x14ac:dyDescent="0.25">
      <c r="A15" s="5" t="str">
        <f>HYPERLINK("#'Input - Pasture'!A1", "Pasture")</f>
        <v>Pasture</v>
      </c>
      <c r="D15" s="131" t="str">
        <v>f</v>
      </c>
      <c r="E15" s="134" t="str">
        <v>Organic fertiliser type</v>
      </c>
      <c r="F15" s="137"/>
      <c r="G15" s="119" t="str">
        <v/>
      </c>
      <c r="H15" s="120" t="str">
        <v>Input</v>
      </c>
      <c r="I15" s="126" t="str" cm="1">
        <f t="array" aca="1" ref="I15" ca="1">HYPERLINK(Common_InputFunctions.Utility_SourceHyperlink($D$17), $D$17)</f>
        <v>Table_MNSoil_j_f</v>
      </c>
    </row>
    <row r="16" spans="1:21" ht="20.100000000000001" customHeight="1" x14ac:dyDescent="0.25">
      <c r="A16" s="5" t="str">
        <f>HYPERLINK("#'Input - Fert Prod System'!A1", "Fert Prod System")</f>
        <v>Fert Prod System</v>
      </c>
    </row>
    <row r="17" spans="1:10" ht="20.100000000000001" customHeight="1" x14ac:dyDescent="0.25">
      <c r="A17" s="5" t="str">
        <f>HYPERLINK("#'Input - Fertiliser'!A1", "Fertiliser")</f>
        <v>Fertiliser</v>
      </c>
      <c r="D17" s="121" t="s">
        <v>746</v>
      </c>
    </row>
    <row r="18" spans="1:10" ht="20.100000000000001" customHeight="1" x14ac:dyDescent="0.25">
      <c r="A18" s="5" t="str">
        <f>HYPERLINK("#'Input - Fuel'!A1", "Fuel")</f>
        <v>Fuel</v>
      </c>
      <c r="D18" s="122" t="s">
        <v>747</v>
      </c>
    </row>
    <row r="19" spans="1:10" ht="20.100000000000001" customHeight="1" x14ac:dyDescent="0.25">
      <c r="A19" s="5" t="str">
        <f>HYPERLINK("#'Input - Electricity'!A1", "Electricity")</f>
        <v>Electricity</v>
      </c>
      <c r="D19" s="81" t="s">
        <v>748</v>
      </c>
      <c r="E19" s="81" t="s">
        <v>749</v>
      </c>
      <c r="F19" s="81" t="s">
        <v>638</v>
      </c>
      <c r="G19" s="181" t="s">
        <v>750</v>
      </c>
      <c r="H19" s="81" t="s">
        <v>751</v>
      </c>
      <c r="I19" s="181" t="s">
        <v>752</v>
      </c>
    </row>
    <row r="20" spans="1:10" ht="20.100000000000001" customHeight="1" x14ac:dyDescent="0.25">
      <c r="A20" s="5" t="str">
        <f>HYPERLINK("#'Input - Common farm inputs'!A1", "Common farm inputs")</f>
        <v>Common farm inputs</v>
      </c>
      <c r="D20" s="15" t="str" cm="1">
        <f t="array" ref="D20:D22">Table_Input_OrganicFertiliser[Organic fertiliser type (select)]</f>
        <v>Manure - Other</v>
      </c>
      <c r="E20" s="182" cm="1">
        <f t="array" ref="E20:E22">Table_Input_OrganicFertiliser[Amount applied (kg/hectare)]</f>
        <v>10</v>
      </c>
      <c r="F20" s="182" t="str" cm="1">
        <f t="array" ref="F20:F22">Table_Input_OrganicFertiliser[Application area (ha)]</f>
        <v>Pasture</v>
      </c>
      <c r="G20" s="15" t="e" cm="1">
        <f t="array" ref="G20:G22">Table_Input_OrganicFertiliser[Amount applied (kg/hectare)]*Table_Input_OrganicFertiliser[Application area (ha)]</f>
        <v>#VALUE!</v>
      </c>
      <c r="H20" s="183" cm="1">
        <f t="array" ref="H20:H22">Table_Input_OrganicFertiliser[Percentage of N in fertiliser]</f>
        <v>0.3</v>
      </c>
      <c r="I20" s="15" t="e" cm="1">
        <f t="array" ref="I20">Fertiliser_Equations_OrganicN2O.VEERG_5_2_1_1__2_MassOfNitrogenInOrganicFertiliser(G20,H20)</f>
        <v>#VALUE!</v>
      </c>
    </row>
    <row r="21" spans="1:10" ht="20.100000000000001" customHeight="1" x14ac:dyDescent="0.25">
      <c r="A21" s="5" t="str">
        <f>HYPERLINK("#'Input - Crop pasture farm input'!A1", "Crop pasture farm input")</f>
        <v>Crop pasture farm input</v>
      </c>
      <c r="D21" s="15" t="str">
        <v>Manure - Poultry</v>
      </c>
      <c r="E21" s="15">
        <v>10</v>
      </c>
      <c r="F21" s="15" t="str">
        <v>Pasture</v>
      </c>
      <c r="G21" s="15" t="e">
        <v>#VALUE!</v>
      </c>
      <c r="H21" s="15">
        <v>0.25</v>
      </c>
      <c r="I21" s="15" t="e" cm="1">
        <f t="array" ref="I21">Fertiliser_Equations_Organic.VEERG_5_2_1_1__2_MassOfNitrogenInOrganicFertiliser(G21,H21)</f>
        <v>#VALUE!</v>
      </c>
    </row>
    <row r="22" spans="1:10" ht="20.100000000000001" customHeight="1" x14ac:dyDescent="0.25">
      <c r="A22" s="5" t="str">
        <f>HYPERLINK("#'Input - Livestock farm Inputs'!A1", "Livestock farm Inputs")</f>
        <v>Livestock farm Inputs</v>
      </c>
      <c r="D22" s="15" t="str">
        <v>Other organic fertiliser</v>
      </c>
      <c r="E22" s="15">
        <v>10</v>
      </c>
      <c r="F22" s="15" t="str">
        <v>Pasture</v>
      </c>
      <c r="G22" s="15" t="e">
        <v>#VALUE!</v>
      </c>
      <c r="H22" s="15">
        <v>0.16</v>
      </c>
      <c r="I22" s="15" t="e" cm="1">
        <f t="array" ref="I22">Fertiliser_Equations_Organic.VEERG_5_2_1_1__2_MassOfNitrogenInOrganicFertiliser(G22,H22)</f>
        <v>#VALUE!</v>
      </c>
    </row>
    <row r="23" spans="1:10" ht="20.100000000000001" customHeight="1" x14ac:dyDescent="0.25">
      <c r="A23" s="5" t="str">
        <f>HYPERLINK("#'Input - Freight'!A1", "Freight")</f>
        <v>Freight</v>
      </c>
      <c r="D23" s="15"/>
      <c r="E23" s="15"/>
      <c r="F23" s="15"/>
      <c r="G23" s="15"/>
      <c r="H23" s="15"/>
      <c r="I23" s="15" cm="1">
        <f t="array" ref="I23">Fertiliser_Equations_Organic.VEERG_5_2_1_1__2_MassOfNitrogenInOrganicFertiliser(G23,H23)</f>
        <v>0</v>
      </c>
    </row>
    <row r="24" spans="1:10" ht="20.100000000000001" customHeight="1" x14ac:dyDescent="0.25">
      <c r="A24" s="5" t="str">
        <f>HYPERLINK("#'Input - Solid waste'!A1", "Solid waste")</f>
        <v>Solid waste</v>
      </c>
      <c r="D24" s="15"/>
      <c r="E24" s="15"/>
      <c r="F24" s="15"/>
      <c r="G24" s="15"/>
      <c r="H24" s="15"/>
      <c r="I24" s="15" cm="1">
        <f t="array" ref="I24">Fertiliser_Equations_Organic.VEERG_5_2_1_1__2_MassOfNitrogenInOrganicFertiliser(G24,H24)</f>
        <v>0</v>
      </c>
    </row>
    <row r="25" spans="1:10" ht="20.100000000000001" customHeight="1" x14ac:dyDescent="0.25">
      <c r="A25" s="5" t="str">
        <f>HYPERLINK("#'Input - Manure sent off-site'!A1", "Manure sent off-site")</f>
        <v>Manure sent off-site</v>
      </c>
      <c r="D25" s="15"/>
      <c r="E25" s="15"/>
      <c r="F25" s="15"/>
      <c r="G25" s="15"/>
      <c r="H25" s="15"/>
      <c r="I25" s="15" cm="1">
        <f t="array" ref="I25">Fertiliser_Equations_Organic.VEERG_5_2_1_1__2_MassOfNitrogenInOrganicFertiliser(G25,H25)</f>
        <v>0</v>
      </c>
    </row>
    <row r="26" spans="1:10" ht="20.100000000000001" customHeight="1" x14ac:dyDescent="0.25">
      <c r="A26" s="5" t="str">
        <f>HYPERLINK("#'Input - Data quality'!A1", "Data quality")</f>
        <v>Data quality</v>
      </c>
      <c r="D26" s="15"/>
      <c r="E26" s="15"/>
      <c r="F26" s="15"/>
      <c r="G26" s="15"/>
      <c r="H26" s="15"/>
      <c r="I26" s="15" cm="1">
        <f t="array" ref="I26">Fertiliser_Equations_Organic.VEERG_5_2_1_1__2_MassOfNitrogenInOrganicFertiliser(G26,H26)</f>
        <v>0</v>
      </c>
    </row>
    <row r="27" spans="1:10" ht="20.100000000000001" customHeight="1" x14ac:dyDescent="0.25">
      <c r="D27" s="15"/>
      <c r="E27" s="15"/>
      <c r="F27" s="15"/>
      <c r="G27" s="15"/>
      <c r="H27" s="15"/>
      <c r="I27" s="15" cm="1">
        <f t="array" ref="I27">Fertiliser_Equations_Organic.VEERG_5_2_1_1__2_MassOfNitrogenInOrganicFertiliser(G27,H27)</f>
        <v>0</v>
      </c>
    </row>
    <row r="28" spans="1:10" ht="20.100000000000001" customHeight="1" x14ac:dyDescent="0.25">
      <c r="D28" s="15"/>
      <c r="E28" s="15"/>
      <c r="F28" s="15"/>
      <c r="G28" s="15"/>
      <c r="H28" s="15"/>
      <c r="I28" s="15" cm="1">
        <f t="array" ref="I28">Fertiliser_Equations_Organic.VEERG_5_2_1_1__2_MassOfNitrogenInOrganicFertiliser(G28,H28)</f>
        <v>0</v>
      </c>
    </row>
    <row r="29" spans="1:10" ht="20.100000000000001" customHeight="1" x14ac:dyDescent="0.25">
      <c r="A29" s="6" t="s">
        <v>2</v>
      </c>
      <c r="D29" s="15"/>
      <c r="E29" s="15"/>
      <c r="F29" s="15"/>
      <c r="G29" s="15"/>
      <c r="H29" s="15"/>
      <c r="I29" s="15" cm="1">
        <f t="array" ref="I29">Fertiliser_Equations_Organic.VEERG_5_2_1_1__2_MassOfNitrogenInOrganicFertiliser(G29,H29)</f>
        <v>0</v>
      </c>
    </row>
    <row r="30" spans="1:10" ht="20.100000000000001" customHeight="1" x14ac:dyDescent="0.25">
      <c r="A30" s="5" t="str">
        <f>HYPERLINK("#'3.3.1.1-2 Enteric Methane'!A1", "3.3.1.1-2 Enteric methane")</f>
        <v>3.3.1.1-2 Enteric methane</v>
      </c>
      <c r="D30" s="15"/>
      <c r="E30" s="15"/>
      <c r="F30" s="15"/>
      <c r="G30" s="15"/>
      <c r="H30" s="15"/>
      <c r="I30" s="15" cm="1">
        <f t="array" ref="I30">Fertiliser_Equations_Organic.VEERG_5_2_1_1__2_MassOfNitrogenInOrganicFertiliser(G30,H30)</f>
        <v>0</v>
      </c>
    </row>
    <row r="31" spans="1:10" ht="20.100000000000001" customHeight="1" x14ac:dyDescent="0.25">
      <c r="A31" s="5" t="str">
        <f>HYPERLINK("#'4.3.1.1-2 Methane'!A1", "4.3.1.1-2 Manure methane")</f>
        <v>4.3.1.1-2 Manure methane</v>
      </c>
      <c r="D31" s="184"/>
      <c r="E31" s="184"/>
      <c r="F31" s="184"/>
      <c r="G31" s="184"/>
      <c r="H31" s="184"/>
      <c r="I31" s="184"/>
      <c r="J31" s="184"/>
    </row>
    <row r="32" spans="1:10" ht="20.100000000000001" customHeight="1" x14ac:dyDescent="0.25">
      <c r="A32" s="5" t="str">
        <f>HYPERLINK("#'4.3.1.3-4 Direct N20'!A1", "4.3.1.3-4 Direct N20")</f>
        <v>4.3.1.3-4 Direct N20</v>
      </c>
      <c r="D32" s="93" t="s">
        <v>753</v>
      </c>
      <c r="E32" s="93" t="e">
        <f>SUM(I20:I30)</f>
        <v>#VALUE!</v>
      </c>
      <c r="F32" s="185" t="str">
        <f>$E$11</f>
        <v>kg N</v>
      </c>
      <c r="G32" s="184"/>
      <c r="H32" s="184"/>
      <c r="I32" s="184"/>
      <c r="J32" s="184"/>
    </row>
    <row r="33" spans="1:12" ht="20.100000000000001" customHeight="1" x14ac:dyDescent="0.25">
      <c r="A33" s="5" t="str">
        <f>HYPERLINK("#'4.3.1.5 Atmos deposition'!A1", "4.3.1.5 Atmos deposition")</f>
        <v>4.3.1.5 Atmos deposition</v>
      </c>
    </row>
    <row r="34" spans="1:12" ht="20.100000000000001" customHeight="1" x14ac:dyDescent="0.25">
      <c r="A34" s="5" t="str">
        <f>HYPERLINK("#'4.3.1.6-7 Leaching and runoff'!A1", "4.3.1.6-7 Leaching &amp; runoff")</f>
        <v>4.3.1.6-7 Leaching &amp; runoff</v>
      </c>
    </row>
    <row r="35" spans="1:12" ht="20.100000000000001" customHeight="1" x14ac:dyDescent="0.25">
      <c r="A35" s="5" t="str">
        <f>HYPERLINK("#'4.3.1.8 Manure applied to soils'!A1", "4.3.1.8 Manure applied to soils")</f>
        <v>4.3.1.8 Manure applied to soils</v>
      </c>
      <c r="C35" s="186"/>
      <c r="D35" s="186"/>
      <c r="E35" s="186"/>
      <c r="F35" s="186"/>
      <c r="G35" s="186"/>
      <c r="H35" s="186"/>
      <c r="I35" s="186"/>
      <c r="J35" s="186"/>
      <c r="K35" s="186"/>
      <c r="L35" s="186"/>
    </row>
    <row r="36" spans="1:12" ht="20.100000000000001" customHeight="1" x14ac:dyDescent="0.25">
      <c r="A36" s="5" t="str">
        <f>HYPERLINK("#'4.3.1.9 Soil direct N2O'!A1", "4.3.1.9 Soil direct N2O")</f>
        <v>4.3.1.9 Soil direct N2O</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HYPERLINK("#'4.3.1.10-11 Soil Atmos Dep'!A1", "4.3.1.10-11 Soil Atmos Deposition")</f>
        <v>4.3.1.10-11 Soil Atmos Deposition</v>
      </c>
      <c r="D37" s="17" t="str" cm="1">
        <f t="array" ref="D37">Fertiliser_Equations_OrganicN2O.VEERG_5_2_1_1__1_OrganicFertiliserApplicationN2OEmissions_Source()</f>
        <v>VEERG 2026: 5.2.1.1, Equation (1)</v>
      </c>
    </row>
    <row r="38" spans="1:12" ht="20.100000000000001" customHeight="1" x14ac:dyDescent="0.25">
      <c r="A38" s="5" t="str">
        <f>HYPERLINK("#'4.3.1.12-13 Soil leach runoff'!A1", "4.3.1.12-13 Soil leach &amp; runoff")</f>
        <v>4.3.1.12-13 Soil leach &amp; runoff</v>
      </c>
      <c r="D38" s="117" t="s">
        <v>343</v>
      </c>
      <c r="E38" s="117" t="str" cm="1">
        <f t="array" aca="1" ref="E38" ca="1">Common_InputFunctions.Utility_DisplayFunctionName($I$20)</f>
        <v>=Fertiliser_Equations_OrganicN2O.VEERG_5_2_1_1__2_MassOfNitrogenInOrganicFertiliser</v>
      </c>
    </row>
    <row r="39" spans="1:12" ht="20.100000000000001" customHeight="1" x14ac:dyDescent="0.25">
      <c r="A39" s="5" t="str">
        <f>HYPERLINK("#'5.1.1.1-2 Inorganic fert N2O'!A1", "5.1.1.1-2 Inorganic fert N2O")</f>
        <v>5.1.1.1-2 Inorganic fert N2O</v>
      </c>
    </row>
    <row r="40" spans="1:12" ht="20.100000000000001" customHeight="1" x14ac:dyDescent="0.25">
      <c r="A40" s="5" t="str">
        <f>HYPERLINK("#'5.1.1.3-4 Inorganic fert CO2'!A1", "5.1.1.3-4 Inorganic fert CO2")</f>
        <v>5.1.1.3-4 Inorganic fert CO2</v>
      </c>
    </row>
    <row r="41" spans="1:12" ht="20.100000000000001" customHeight="1" x14ac:dyDescent="0.25">
      <c r="A41" s="118" t="str">
        <f>HYPERLINK("#'5.2.1.1-2 Organic Fert N2O'!A1", "5.2.1.1-2 Organic fert N2O")</f>
        <v>5.2.1.1-2 Organic fert N2O</v>
      </c>
      <c r="D41" s="76" t="s">
        <v>344</v>
      </c>
      <c r="E41" s="1" t="str" cm="1">
        <f t="array" ref="E41">Fertiliser_Equations_OrganicN2O.VEERG_5_2_1_1__1_OrganicFertiliserApplicationN2OEmissions_Variable()</f>
        <v>E_N2O</v>
      </c>
    </row>
    <row r="42" spans="1:12" ht="20.100000000000001" customHeight="1" x14ac:dyDescent="0.25">
      <c r="A42" s="5" t="str">
        <f>HYPERLINK("#'5.3.1.1-2 Lime CO2'!A1", "5.3.1.1-2 Lime CO2")</f>
        <v>5.3.1.1-2 Lime CO2</v>
      </c>
      <c r="D42" s="76" t="s">
        <v>118</v>
      </c>
      <c r="E42" s="9" t="str" cm="1">
        <f t="array" ref="E42">Fertiliser_Equations_OrganicN2O.VEERG_5_2_1_1__1_OrganicFertiliserApplicationN2OEmissions_Unit()</f>
        <v>t N2O</v>
      </c>
    </row>
    <row r="43" spans="1:12" ht="20.100000000000001" customHeight="1" x14ac:dyDescent="0.25">
      <c r="A43" s="5" t="str">
        <f>HYPERLINK("#'5.4.1.1-4 Atmos deposition'!A1", "5.4.1.1-4 Atmos. deposition")</f>
        <v>5.4.1.1-4 Atmos. deposition</v>
      </c>
    </row>
    <row r="44" spans="1:12" ht="20.100000000000001" customHeight="1" x14ac:dyDescent="0.25">
      <c r="A44" s="5" t="str">
        <f>HYPERLINK("#'5.5.1.1-2 Leaching and runoff'!A1", "5.5.1.1-2 Leaching &amp; runoff")</f>
        <v>5.5.1.1-2 Leaching &amp; runoff</v>
      </c>
      <c r="D44" s="119" t="str" cm="1">
        <f t="array" ref="D44:E48">_xlfn.CHOOSECOLS(Fertiliser_Equations_OrganicN2O.VEERG_5_2_1_1__1_OrganicFertiliserApplicationN2OEmissions_Arguments(), 1, 2)</f>
        <v>MNSoil_jf</v>
      </c>
      <c r="E44" s="124" t="str">
        <v>mass of nitrogen in organic fertiliser type f applied to production system j</v>
      </c>
      <c r="F44" s="132"/>
      <c r="G44" s="132"/>
      <c r="H44" s="125"/>
      <c r="I44" s="119" t="str" cm="1">
        <f t="array" ref="I44:J48">_xlfn.CHOOSECOLS(Fertiliser_Equations_OrganicN2O.VEERG_5_2_1_1__1_OrganicFertiliserApplicationN2OEmissions_Arguments(), 3,4)</f>
        <v>kg N</v>
      </c>
      <c r="J44" s="127" t="str">
        <v>Calculated from 5.2.1.1 (2)</v>
      </c>
      <c r="K44" s="119" t="e">
        <f>$E$32</f>
        <v>#VALUE!</v>
      </c>
    </row>
    <row r="45" spans="1:12" ht="20.100000000000001" customHeight="1" x14ac:dyDescent="0.25">
      <c r="A45" s="5" t="str">
        <f>HYPERLINK("#'6.2.1.1-2 Pasture residue N2O'!A1", "6.2.1.1-2 Pasture residue N2O")</f>
        <v>6.2.1.1-2 Pasture residue N2O</v>
      </c>
      <c r="D45" s="119" t="str">
        <v>EF_N2Oi</v>
      </c>
      <c r="E45" s="124" t="str">
        <v>emission factor for direct nitrous oxide emissions from organic fertiliser applied to soils and aquatic systems in climate zone i</v>
      </c>
      <c r="F45" s="132"/>
      <c r="G45" s="132"/>
      <c r="H45" s="125"/>
      <c r="I45" s="119" t="str">
        <v>kg N2O-N/kg N</v>
      </c>
      <c r="J45" s="127" t="str">
        <v>Lookup</v>
      </c>
      <c r="K45" s="119">
        <f>Common_InputFunctions.Utility_LookupValueInTableNumber(K48, Table_SourceData_Common_EFOrganicFertCropResidues[Climate Zone],Table_SourceData_Common_EFOrganicFertCropResidues[EFNi &amp; EFN2Oi])</f>
        <v>0</v>
      </c>
    </row>
    <row r="46" spans="1:12" ht="20.100000000000001" customHeight="1" x14ac:dyDescent="0.25">
      <c r="A46" s="5" t="str">
        <f>HYPERLINK("#'6.3.1.1-2 Leach runoff pasture'!A1", "6.3.1.1-2 Leach &amp; runoff (pasture)")</f>
        <v>6.3.1.1-2 Leach &amp; runoff (pasture)</v>
      </c>
      <c r="D46" s="119" t="str">
        <v>C_N2O</v>
      </c>
      <c r="E46" s="124" t="str">
        <v>factor to convert elemental mass of nitrous oxide to molecular mass</v>
      </c>
      <c r="F46" s="132"/>
      <c r="G46" s="132"/>
      <c r="H46" s="125"/>
      <c r="I46" s="119" t="str">
        <v/>
      </c>
      <c r="J46" s="127" t="str">
        <v>Constant</v>
      </c>
      <c r="K46" s="131">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HYPERLINK("#'8.1.1.1-2 Transport fuel'!A1", "8.1.1.1-2 Transport fuel")</f>
        <v>8.1.1.1-2 Transport fuel</v>
      </c>
      <c r="D47" s="119" t="str">
        <v>j</v>
      </c>
      <c r="E47" s="124" t="str">
        <v>Production system</v>
      </c>
      <c r="F47" s="132"/>
      <c r="G47" s="132"/>
      <c r="H47" s="125"/>
      <c r="I47" s="119" t="str">
        <v/>
      </c>
      <c r="J47" s="120" t="str">
        <v>Input</v>
      </c>
      <c r="K47" s="119">
        <f>X_Cell_Fertiliser_ProductionSystem</f>
        <v>0</v>
      </c>
    </row>
    <row r="48" spans="1:12" ht="20.100000000000001" customHeight="1" x14ac:dyDescent="0.25">
      <c r="A48" s="5" t="str">
        <f>HYPERLINK("#'8.2.1.1-2 Stationary fuel'!A1", "8.2.1.1-2 Stationary fuel")</f>
        <v>8.2.1.1-2 Stationary fuel</v>
      </c>
      <c r="D48" s="119" t="str">
        <v>i</v>
      </c>
      <c r="E48" s="124" t="str">
        <v>Wet or dry climate zone</v>
      </c>
      <c r="F48" s="132"/>
      <c r="G48" s="132"/>
      <c r="H48" s="125"/>
      <c r="I48" s="119" t="str">
        <v/>
      </c>
      <c r="J48" s="120" t="str">
        <v>Input</v>
      </c>
      <c r="K48" s="119">
        <f>X_Cell_Site_WetOrDryClimateZone</f>
        <v>0</v>
      </c>
    </row>
    <row r="49" spans="1:7" ht="20.100000000000001" customHeight="1" x14ac:dyDescent="0.25">
      <c r="A49" s="5" t="str">
        <f>HYPERLINK("#'10.1.1-2 Solid waste treatment'!A1", "10.1.1.1-2 Solid waste")</f>
        <v>10.1.1.1-2 Solid waste</v>
      </c>
    </row>
    <row r="50" spans="1:7" ht="20.100000000000001" customHeight="1" x14ac:dyDescent="0.25">
      <c r="A50" s="5" t="str">
        <f>HYPERLINK("#'14.1.1-2 Purchased electricity'!A1", "14.1.1-2 Purchased electricity")</f>
        <v>14.1.1-2 Purchased electricity</v>
      </c>
      <c r="D50" s="88" t="s">
        <v>727</v>
      </c>
      <c r="E50" s="91" t="e" cm="1">
        <f t="array" ref="E50">Fertiliser_Equations_OrganicN2O.VEERG_5_2_1_1__1_OrganicFertiliserApplicationN2OEmissions(K44,K45,K46)</f>
        <v>#VALUE!</v>
      </c>
      <c r="F50" s="90" t="str">
        <f>$E$42</f>
        <v>t N2O</v>
      </c>
    </row>
    <row r="51" spans="1:7" ht="20.100000000000001" customHeight="1" x14ac:dyDescent="0.25">
      <c r="A51" s="5" t="str">
        <f>HYPERLINK("#'15 Scope 3'!A1", "15 Scope 3")</f>
        <v>15 Scope 3</v>
      </c>
    </row>
    <row r="52" spans="1:7" ht="20.100000000000001" customHeight="1" x14ac:dyDescent="0.25">
      <c r="A52" s="5" t="str">
        <f>HYPERLINK("#'Calcs - Manure sent off-site'!A1", "Calcs - Manure sent off-site")</f>
        <v>Calcs - Manure sent off-site</v>
      </c>
      <c r="D52" s="131" t="str" cm="1">
        <f t="array" ref="D52:E53">Common_Equations.Common_ConvertN2OToCO2e_Arguments()</f>
        <v>EN2O</v>
      </c>
      <c r="E52" s="134" t="str">
        <v>Nitrous oxide emissions (t N2O)</v>
      </c>
      <c r="F52" s="135"/>
      <c r="G52" s="15" t="e">
        <f>VEERG_5_2_1_1__2_MassOfNitrogenInOrganicFertiliser_Result_Method1</f>
        <v>#VALUE!</v>
      </c>
    </row>
    <row r="53" spans="1:7" ht="20.100000000000001" customHeight="1" x14ac:dyDescent="0.25">
      <c r="D53" s="131" t="str">
        <v>GWPN2O</v>
      </c>
      <c r="E53" s="134" t="str">
        <v>Global warming potential for nitrous oxide (t CO2-e / t N2O)</v>
      </c>
      <c r="F53" s="135"/>
      <c r="G53" s="15">
        <f>Common_InputFunctions.Utility_LookupValueInTableNumber("N2O",Table_GWPData[Gas],Table_GWPData[CO2-e factor])</f>
        <v>265</v>
      </c>
    </row>
    <row r="54" spans="1:7" ht="20.100000000000001" customHeight="1" x14ac:dyDescent="0.25"/>
    <row r="55" spans="1:7" ht="20.100000000000001" customHeight="1" x14ac:dyDescent="0.25">
      <c r="A55" s="83" t="s">
        <v>1</v>
      </c>
      <c r="D55" s="89" t="s">
        <v>493</v>
      </c>
      <c r="E55" s="89" t="e" cm="1">
        <f t="array" ref="E55">Common_Equations.Common_ConvertN2OToCO2e(G52,G53)</f>
        <v>#VALUE!</v>
      </c>
      <c r="F55" s="94" t="str" cm="1">
        <f t="array" ref="F55">Common_Equations.Common_ConvertN2OToCO2e_Unit()</f>
        <v>t CO2e</v>
      </c>
    </row>
    <row r="56" spans="1:7" ht="20.100000000000001" customHeight="1" x14ac:dyDescent="0.25">
      <c r="A56" s="5" t="str">
        <f>HYPERLINK("#'Constants - Dairy'!A1", "Constants - Dairy")</f>
        <v>Constants - Dairy</v>
      </c>
    </row>
    <row r="57" spans="1:7" ht="20.100000000000001" customHeight="1" x14ac:dyDescent="0.25">
      <c r="A57" s="5" t="str">
        <f>HYPERLINK("#'Constants - Ag Residue'!A1", "Constants - Ag residue")</f>
        <v>Constants - Ag residue</v>
      </c>
    </row>
    <row r="58" spans="1:7" ht="20.100000000000001" customHeight="1" x14ac:dyDescent="0.25">
      <c r="A58" s="5" t="str">
        <f>HYPERLINK("#'Constants - Common Livestock'!A1", "Constants - Common Livestock")</f>
        <v>Constants - Common Livestock</v>
      </c>
    </row>
    <row r="59" spans="1:7" ht="20.100000000000001" customHeight="1" x14ac:dyDescent="0.25">
      <c r="A59" s="5" t="str">
        <f>HYPERLINK("#'Constants - Electricity'!A1", "Constants - Electricity")</f>
        <v>Constants - Electricity</v>
      </c>
    </row>
    <row r="60" spans="1:7" ht="20.100000000000001" customHeight="1" x14ac:dyDescent="0.25">
      <c r="A60" s="5" t="str">
        <f>HYPERLINK("#'Constants - Fertiliser'!A1", "Constants - Fertiliser")</f>
        <v>Constants - Fertiliser</v>
      </c>
    </row>
    <row r="61" spans="1:7" ht="20.100000000000001" customHeight="1" x14ac:dyDescent="0.25">
      <c r="A61" s="5" t="str">
        <f>HYPERLINK("#'Constants - Fuel'!A1", "Constants - Fuel")</f>
        <v>Constants - Fuel</v>
      </c>
    </row>
    <row r="62" spans="1:7" ht="20.100000000000001" customHeight="1" x14ac:dyDescent="0.25">
      <c r="A62" s="5" t="str">
        <f>HYPERLINK("#'Constants - Scope 3'!A1", "Constants - Scope 3")</f>
        <v>Constants - Scope 3</v>
      </c>
    </row>
    <row r="63" spans="1:7" ht="20.100000000000001" customHeight="1" x14ac:dyDescent="0.25">
      <c r="A63" s="5" t="str">
        <f>HYPERLINK("#'Constants - Common'!A1", "Constants - Common")</f>
        <v>Constants - Common</v>
      </c>
    </row>
    <row r="64" spans="1:7"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8ABB-14D5-4884-8AA6-7079C2B60C3C}">
  <sheetPr>
    <tabColor rgb="FF008000"/>
  </sheetPr>
  <dimension ref="A1:U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754</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5">
      <c r="A6" s="5" t="str">
        <f>HYPERLINK("#'Results'!A1", "Results")</f>
        <v>Results</v>
      </c>
      <c r="D6" s="17" t="str" cm="1">
        <f t="array" ref="D6">Fertiliser_Equations_Lime.VEERG_5_3_1_1__1_LimeApplicationCO2Emissions_Source()</f>
        <v>VEERG 2026: 5.3.1.1, Equation (1)</v>
      </c>
    </row>
    <row r="7" spans="1:21" ht="20.100000000000001" customHeight="1" x14ac:dyDescent="0.25">
      <c r="D7" s="117" t="s">
        <v>343</v>
      </c>
      <c r="E7" s="117" t="str" cm="1">
        <f t="array" aca="1" ref="E7" ca="1">Common_InputFunctions.Utility_DisplayFunctionName(H25)</f>
        <v>=Fertiliser_Equations_Lime.VEERG_5_3_1_1__1_LimeApplicationCO2Emissions</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Fertiliser_Equations_Lime.VEERG_5_3_1_1__1_LimeApplicationCO2Emissions_Variable()</f>
        <v>E_lime</v>
      </c>
    </row>
    <row r="11" spans="1:21" ht="20.100000000000001" customHeight="1" x14ac:dyDescent="0.25">
      <c r="A11" s="5" t="str">
        <f>HYPERLINK("#'Input - Site'!A1", "Site")</f>
        <v>Site</v>
      </c>
      <c r="D11" s="76" t="s">
        <v>118</v>
      </c>
      <c r="E11" s="9" t="str" cm="1">
        <f t="array" ref="E11">Fertiliser_Equations_Lime.VEERG_5_3_1_1__1_LimeApplicationCO2Emissions_Unit()</f>
        <v>t CO2</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20">_xlfn.CHOOSECOLS(Fertiliser_Equations_Lime.VEERG_5_3_1_1__1_LimeApplicationCO2Emissions_Arguments(), 1, 2)</f>
        <v>M_lime</v>
      </c>
      <c r="E13" s="124" t="str">
        <v>total mass of lime applied to production system</v>
      </c>
      <c r="F13" s="125"/>
      <c r="G13" s="119" t="str" cm="1">
        <f t="array" ref="G13:H20">_xlfn.CHOOSECOLS(Fertiliser_Equations_Lime.VEERG_5_3_1_1__1_LimeApplicationCO2Emissions_Arguments(), 3,4)</f>
        <v>kg</v>
      </c>
      <c r="H13" s="120" t="str">
        <v>Input</v>
      </c>
      <c r="I13" s="126" t="str" cm="1">
        <f t="array" aca="1" ref="I13" ca="1">HYPERLINK(Common_InputFunctions.Utility_SourceHyperlink($D$22), $D$22)</f>
        <v>Table_E_lime</v>
      </c>
    </row>
    <row r="14" spans="1:21" ht="20.100000000000001" customHeight="1" x14ac:dyDescent="0.25">
      <c r="A14" s="5" t="str">
        <f>HYPERLINK("#'Input - Dairy cattle purchases'!A1", "Dairy cattle purchases")</f>
        <v>Dairy cattle purchases</v>
      </c>
      <c r="D14" s="119" t="str">
        <v>FracLime</v>
      </c>
      <c r="E14" s="124" t="str">
        <v>fraction of lime as limestone (CaCO3)</v>
      </c>
      <c r="F14" s="125"/>
      <c r="G14" s="119" t="str">
        <v>fraction</v>
      </c>
      <c r="H14" s="120" t="str">
        <v>Input</v>
      </c>
      <c r="I14" s="126" t="str" cm="1">
        <f t="array" aca="1" ref="I14" ca="1">HYPERLINK(Common_InputFunctions.Utility_SourceHyperlink($D$22), $D$22)</f>
        <v>Table_E_lime</v>
      </c>
    </row>
    <row r="15" spans="1:21" ht="20.100000000000001" customHeight="1" x14ac:dyDescent="0.25">
      <c r="A15" s="5" t="str">
        <f>HYPERLINK("#'Input - Pasture'!A1", "Pasture")</f>
        <v>Pasture</v>
      </c>
      <c r="D15" s="119" t="str">
        <v>P_lime</v>
      </c>
      <c r="E15" s="124" t="str">
        <v>fractional purity of limestone</v>
      </c>
      <c r="F15" s="125"/>
      <c r="G15" s="119" t="str">
        <v>fraction</v>
      </c>
      <c r="H15" s="127" t="str">
        <v>Constant</v>
      </c>
      <c r="I15" s="119">
        <f>'Constants - Fertiliser'!$E$66</f>
        <v>0.9</v>
      </c>
    </row>
    <row r="16" spans="1:21" ht="20.100000000000001" customHeight="1" x14ac:dyDescent="0.25">
      <c r="A16" s="5" t="str">
        <f>HYPERLINK("#'Input - Fert Prod System'!A1", "Fert Prod System")</f>
        <v>Fert Prod System</v>
      </c>
      <c r="D16" s="119" t="str">
        <v>EF_lime</v>
      </c>
      <c r="E16" s="124" t="str">
        <v>emission factor for limestone fraction of lime</v>
      </c>
      <c r="F16" s="125"/>
      <c r="G16" s="119" t="str">
        <v>kg C/kg</v>
      </c>
      <c r="H16" s="127" t="str">
        <v>Constant</v>
      </c>
      <c r="I16" s="119">
        <f>'Constants - Fertiliser'!$F$66</f>
        <v>0.12</v>
      </c>
    </row>
    <row r="17" spans="1:9" ht="20.100000000000001" customHeight="1" x14ac:dyDescent="0.25">
      <c r="A17" s="5" t="str">
        <f>HYPERLINK("#'Input - Fertiliser'!A1", "Fertiliser")</f>
        <v>Fertiliser</v>
      </c>
      <c r="D17" s="119" t="str">
        <v>FracDol</v>
      </c>
      <c r="E17" s="124" t="str">
        <v>fraction of lime as dolomite</v>
      </c>
      <c r="F17" s="125"/>
      <c r="G17" s="119" t="str">
        <v>fraction</v>
      </c>
      <c r="H17" s="120" t="str">
        <v>Input</v>
      </c>
      <c r="I17" s="126" t="str" cm="1">
        <f t="array" aca="1" ref="I17" ca="1">HYPERLINK(Common_InputFunctions.Utility_SourceHyperlink($D$22), $D$22)</f>
        <v>Table_E_lime</v>
      </c>
    </row>
    <row r="18" spans="1:9" ht="20.100000000000001" customHeight="1" x14ac:dyDescent="0.25">
      <c r="A18" s="5" t="str">
        <f>HYPERLINK("#'Input - Fuel'!A1", "Fuel")</f>
        <v>Fuel</v>
      </c>
      <c r="D18" s="119" t="str">
        <v>P_dol</v>
      </c>
      <c r="E18" s="124" t="str">
        <v>fractional purity of dolomite</v>
      </c>
      <c r="F18" s="125"/>
      <c r="G18" s="119" t="str">
        <v>fraction</v>
      </c>
      <c r="H18" s="127" t="str">
        <v>Constant</v>
      </c>
      <c r="I18" s="119">
        <f>'Constants - Fertiliser'!$E$67</f>
        <v>0.95</v>
      </c>
    </row>
    <row r="19" spans="1:9" ht="20.100000000000001" customHeight="1" x14ac:dyDescent="0.25">
      <c r="A19" s="5" t="str">
        <f>HYPERLINK("#'Input - Electricity'!A1", "Electricity")</f>
        <v>Electricity</v>
      </c>
      <c r="D19" s="119" t="str">
        <v>EF_dol</v>
      </c>
      <c r="E19" s="124" t="str">
        <v>emission factor for dolomite fraction of lime</v>
      </c>
      <c r="F19" s="125"/>
      <c r="G19" s="119" t="str">
        <v>kg C/kg</v>
      </c>
      <c r="H19" s="127" t="str">
        <v>Constant</v>
      </c>
      <c r="I19" s="119">
        <f>'Constants - Fertiliser'!$F$67</f>
        <v>0.13</v>
      </c>
    </row>
    <row r="20" spans="1:9" ht="20.100000000000001" customHeight="1" x14ac:dyDescent="0.25">
      <c r="A20" s="5" t="str">
        <f>HYPERLINK("#'Input - Common farm inputs'!A1", "Common farm inputs")</f>
        <v>Common farm inputs</v>
      </c>
      <c r="D20" s="119" t="str">
        <v>C_CO2</v>
      </c>
      <c r="E20" s="124" t="str">
        <v>factor to convert elemental mass of carbon dioxide to molecular mass</v>
      </c>
      <c r="F20" s="125"/>
      <c r="G20" s="119" t="str">
        <v/>
      </c>
      <c r="H20" s="127" t="str">
        <v>Constant</v>
      </c>
      <c r="I20" s="131">
        <f>Common_InputFunctions.Utility_LookupValueInTableNumber("CO2",Table_GasToMolecularConversionFactor[Gas], Table_GasToMolecularConversionFactor[Conversion factor combined])</f>
        <v>3.6666666666666665</v>
      </c>
    </row>
    <row r="21" spans="1:9" ht="20.100000000000001" customHeight="1" x14ac:dyDescent="0.25">
      <c r="A21" s="5" t="str">
        <f>HYPERLINK("#'Input - Crop pasture farm input'!A1", "Crop pasture farm input")</f>
        <v>Crop pasture farm input</v>
      </c>
    </row>
    <row r="22" spans="1:9" ht="20.100000000000001" customHeight="1" x14ac:dyDescent="0.25">
      <c r="A22" s="5" t="str">
        <f>HYPERLINK("#'Input - Livestock farm Inputs'!A1", "Livestock farm Inputs")</f>
        <v>Livestock farm Inputs</v>
      </c>
      <c r="D22" s="121" t="s">
        <v>755</v>
      </c>
    </row>
    <row r="23" spans="1:9" ht="20.100000000000001" customHeight="1" x14ac:dyDescent="0.25">
      <c r="A23" s="5" t="str">
        <f>HYPERLINK("#'Input - Freight'!A1", "Freight")</f>
        <v>Freight</v>
      </c>
      <c r="D23" s="122" t="s">
        <v>675</v>
      </c>
    </row>
    <row r="24" spans="1:9" ht="20.100000000000001" customHeight="1" x14ac:dyDescent="0.25">
      <c r="A24" s="5" t="str">
        <f>HYPERLINK("#'Input - Solid waste'!A1", "Solid waste")</f>
        <v>Solid waste</v>
      </c>
      <c r="D24" s="81" t="s">
        <v>756</v>
      </c>
      <c r="E24" s="81" t="s">
        <v>757</v>
      </c>
      <c r="F24" s="81" t="s">
        <v>758</v>
      </c>
      <c r="G24" s="81" t="s">
        <v>759</v>
      </c>
      <c r="H24" s="123" t="s">
        <v>760</v>
      </c>
    </row>
    <row r="25" spans="1:9" ht="20.100000000000001" customHeight="1" x14ac:dyDescent="0.25">
      <c r="A25" s="5" t="str">
        <f>HYPERLINK("#'Input - Manure sent off-site'!A1", "Manure sent off-site")</f>
        <v>Manure sent off-site</v>
      </c>
      <c r="D25" s="15" t="str" cm="1">
        <f t="array" ref="D25:D27">Table_Input_Lime[Product]</f>
        <v>Lime product 1</v>
      </c>
      <c r="E25" s="133" cm="1">
        <f t="array" ref="E25:E27">Table_Input_Lime[Total amount applied (t)]*10^3</f>
        <v>0</v>
      </c>
      <c r="F25" s="187" cm="1">
        <f t="array" ref="F25:F27">Table_Input_Lime[Percent Lime CaCO3]</f>
        <v>0.8</v>
      </c>
      <c r="G25" s="187" cm="1">
        <f t="array" ref="G25:G27">Table_Input_Lime[Percent Dolomite CaMg(CO3)2]</f>
        <v>0.1</v>
      </c>
      <c r="H25" s="15" cm="1">
        <f t="array" ref="H25">Fertiliser_Equations_Lime.VEERG_5_3_1_1__1_LimeApplicationCO2Emissions(E25,F25,$I$15,$I$16,G25,$I$18,$I$19,$I$20)</f>
        <v>0</v>
      </c>
    </row>
    <row r="26" spans="1:9" ht="20.100000000000001" customHeight="1" x14ac:dyDescent="0.25">
      <c r="A26" s="5" t="str">
        <f>HYPERLINK("#'Input - Data quality'!A1", "Data quality")</f>
        <v>Data quality</v>
      </c>
      <c r="D26" s="15" t="str">
        <v>Lime product 2</v>
      </c>
      <c r="E26" s="15">
        <v>0</v>
      </c>
      <c r="F26" s="15">
        <v>1</v>
      </c>
      <c r="G26" s="15">
        <v>0</v>
      </c>
      <c r="H26" s="15" cm="1">
        <f t="array" ref="H26">Fertiliser_Equations_Lime.VEERG_5_3_1_1__1_LimeApplicationCO2Emissions(E26,F26,$I$15,$I$16,G26,$I$18,$I$19,$I$20)</f>
        <v>0</v>
      </c>
    </row>
    <row r="27" spans="1:9" ht="20.100000000000001" customHeight="1" x14ac:dyDescent="0.25">
      <c r="D27" s="15" t="str">
        <v>Lime product 3</v>
      </c>
      <c r="E27" s="15">
        <v>0</v>
      </c>
      <c r="F27" s="15">
        <v>0</v>
      </c>
      <c r="G27" s="15">
        <v>0</v>
      </c>
      <c r="H27" s="15" cm="1">
        <f t="array" ref="H27">Fertiliser_Equations_Lime.VEERG_5_3_1_1__1_LimeApplicationCO2Emissions(E27,F27,$I$15,$I$16,G27,$I$18,$I$19,$I$20)</f>
        <v>0</v>
      </c>
    </row>
    <row r="28" spans="1:9" ht="20.100000000000001" customHeight="1" x14ac:dyDescent="0.25">
      <c r="D28" s="15"/>
      <c r="E28" s="15"/>
      <c r="F28" s="15"/>
      <c r="G28" s="15"/>
      <c r="H28" s="15" cm="1">
        <f t="array" ref="H28">Fertiliser_Equations_Lime.VEERG_5_3_1_1__1_LimeApplicationCO2Emissions(E28,F28,$I$15,$I$16,G28,$I$18,$I$19,$I$20)</f>
        <v>0</v>
      </c>
    </row>
    <row r="29" spans="1:9" ht="20.100000000000001" customHeight="1" x14ac:dyDescent="0.25">
      <c r="A29" s="6" t="s">
        <v>2</v>
      </c>
      <c r="D29" s="15"/>
      <c r="E29" s="15"/>
      <c r="F29" s="15"/>
      <c r="G29" s="15"/>
      <c r="H29" s="15" cm="1">
        <f t="array" ref="H29">Fertiliser_Equations_Lime.VEERG_5_3_1_1__1_LimeApplicationCO2Emissions(E29,F29,$I$15,$I$16,G29,$I$18,$I$19,$I$20)</f>
        <v>0</v>
      </c>
    </row>
    <row r="30" spans="1:9" ht="20.100000000000001" customHeight="1" x14ac:dyDescent="0.25">
      <c r="A30" s="5" t="str">
        <f>HYPERLINK("#'3.3.1.1-2 Enteric Methane'!A1", "3.3.1.1-2 Enteric methane")</f>
        <v>3.3.1.1-2 Enteric methane</v>
      </c>
    </row>
    <row r="31" spans="1:9" ht="20.100000000000001" customHeight="1" x14ac:dyDescent="0.25">
      <c r="A31" s="5" t="str">
        <f>HYPERLINK("#'4.3.1.1-2 Methane'!A1", "4.3.1.1-2 Manure methane")</f>
        <v>4.3.1.1-2 Manure methane</v>
      </c>
      <c r="D31" s="88" t="s">
        <v>761</v>
      </c>
      <c r="E31" s="91">
        <f>SUM(H25:H29)</f>
        <v>0</v>
      </c>
      <c r="F31" s="188" t="s">
        <v>126</v>
      </c>
    </row>
    <row r="32" spans="1:9" ht="20.100000000000001" customHeight="1" x14ac:dyDescent="0.25">
      <c r="A32" s="5" t="str">
        <f>HYPERLINK("#'4.3.1.3-4 Direct N20'!A1", "4.3.1.3-4 Direct N20")</f>
        <v>4.3.1.3-4 Direct N20</v>
      </c>
    </row>
    <row r="33" spans="1:1" ht="20.100000000000001" customHeight="1" x14ac:dyDescent="0.25">
      <c r="A33" s="5" t="str">
        <f>HYPERLINK("#'4.3.1.5 Atmos deposition'!A1", "4.3.1.5 Atmos deposition")</f>
        <v>4.3.1.5 Atmos deposition</v>
      </c>
    </row>
    <row r="34" spans="1:1" ht="20.100000000000001" customHeight="1" x14ac:dyDescent="0.25">
      <c r="A34" s="5" t="str">
        <f>HYPERLINK("#'4.3.1.6-7 Leaching and runoff'!A1", "4.3.1.6-7 Leaching &amp; runoff")</f>
        <v>4.3.1.6-7 Leaching &amp; runoff</v>
      </c>
    </row>
    <row r="35" spans="1:1" ht="20.100000000000001" customHeight="1" x14ac:dyDescent="0.25">
      <c r="A35" s="5" t="str">
        <f>HYPERLINK("#'4.3.1.8 Manure applied to soils'!A1", "4.3.1.8 Manure applied to soils")</f>
        <v>4.3.1.8 Manure applied to soils</v>
      </c>
    </row>
    <row r="36" spans="1:1" ht="20.100000000000001" customHeight="1" x14ac:dyDescent="0.25">
      <c r="A36" s="5" t="str">
        <f>HYPERLINK("#'4.3.1.9 Soil direct N2O'!A1", "4.3.1.9 Soil direct N2O")</f>
        <v>4.3.1.9 Soil direct N2O</v>
      </c>
    </row>
    <row r="37" spans="1:1" ht="20.100000000000001" customHeight="1" x14ac:dyDescent="0.25">
      <c r="A37" s="5" t="str">
        <f>HYPERLINK("#'4.3.1.10-11 Soil Atmos Dep'!A1", "4.3.1.10-11 Soil Atmos Deposition")</f>
        <v>4.3.1.10-11 Soil Atmos Deposition</v>
      </c>
    </row>
    <row r="38" spans="1:1" ht="20.100000000000001" customHeight="1" x14ac:dyDescent="0.25">
      <c r="A38" s="5" t="str">
        <f>HYPERLINK("#'4.3.1.12-13 Soil leach runoff'!A1", "4.3.1.12-13 Soil leach &amp; runoff")</f>
        <v>4.3.1.12-13 Soil leach &amp; runoff</v>
      </c>
    </row>
    <row r="39" spans="1:1" ht="20.100000000000001" customHeight="1" x14ac:dyDescent="0.25">
      <c r="A39" s="5" t="str">
        <f>HYPERLINK("#'5.1.1.1-2 Inorganic fert N2O'!A1", "5.1.1.1-2 Inorganic fert N2O")</f>
        <v>5.1.1.1-2 Inorganic fert N2O</v>
      </c>
    </row>
    <row r="40" spans="1:1" ht="20.100000000000001" customHeight="1" x14ac:dyDescent="0.25">
      <c r="A40" s="5" t="str">
        <f>HYPERLINK("#'5.1.1.3-4 Inorganic fert CO2'!A1", "5.1.1.3-4 Inorganic fert CO2")</f>
        <v>5.1.1.3-4 Inorganic fert CO2</v>
      </c>
    </row>
    <row r="41" spans="1:1" ht="20.100000000000001" customHeight="1" x14ac:dyDescent="0.25">
      <c r="A41" s="5" t="str">
        <f>HYPERLINK("#'5.2.1.1-2 Organic Fert N2O'!A1", "5.2.1.1-2 Organic fert N2O")</f>
        <v>5.2.1.1-2 Organic fert N2O</v>
      </c>
    </row>
    <row r="42" spans="1:1" ht="20.100000000000001" customHeight="1" x14ac:dyDescent="0.25">
      <c r="A42" s="118" t="str">
        <f>HYPERLINK("#'5.3.1.1-2 Lime CO2'!A1", "5.3.1.1-2 Lime CO2")</f>
        <v>5.3.1.1-2 Lime CO2</v>
      </c>
    </row>
    <row r="43" spans="1:1" ht="20.100000000000001" customHeight="1" x14ac:dyDescent="0.25">
      <c r="A43" s="5" t="str">
        <f>HYPERLINK("#'5.4.1.1-4 Atmos deposition'!A1", "5.4.1.1-4 Atmos. deposition")</f>
        <v>5.4.1.1-4 Atmos. deposition</v>
      </c>
    </row>
    <row r="44" spans="1:1" ht="20.100000000000001" customHeight="1" x14ac:dyDescent="0.25">
      <c r="A44" s="5" t="str">
        <f>HYPERLINK("#'5.5.1.1-2 Leaching and runoff'!A1", "5.5.1.1-2 Leaching &amp; runoff")</f>
        <v>5.5.1.1-2 Leaching &amp; runoff</v>
      </c>
    </row>
    <row r="45" spans="1:1" ht="20.100000000000001" customHeight="1" x14ac:dyDescent="0.25">
      <c r="A45" s="5" t="str">
        <f>HYPERLINK("#'6.2.1.1-2 Pasture residue N2O'!A1", "6.2.1.1-2 Pasture residue N2O")</f>
        <v>6.2.1.1-2 Pasture residue N2O</v>
      </c>
    </row>
    <row r="46" spans="1:1" ht="20.100000000000001" customHeight="1" x14ac:dyDescent="0.25">
      <c r="A46" s="5" t="str">
        <f>HYPERLINK("#'6.3.1.1-2 Leach runoff pasture'!A1", "6.3.1.1-2 Leach &amp; runoff (pasture)")</f>
        <v>6.3.1.1-2 Leach &amp; runoff (pasture)</v>
      </c>
    </row>
    <row r="47" spans="1:1" ht="20.100000000000001" customHeight="1" x14ac:dyDescent="0.25">
      <c r="A47" s="5" t="str">
        <f>HYPERLINK("#'8.1.1.1-2 Transport fuel'!A1", "8.1.1.1-2 Transport fuel")</f>
        <v>8.1.1.1-2 Transport fuel</v>
      </c>
    </row>
    <row r="48" spans="1:1"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8DA5-B5DA-44AC-AC16-E1916A6154BE}">
  <sheetPr>
    <tabColor rgb="FF008000"/>
  </sheetPr>
  <dimension ref="A1:U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762</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L3" s="22"/>
      <c r="N3" s="22"/>
      <c r="O3" s="22" t="s">
        <v>130</v>
      </c>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5" t="str">
        <f>HYPERLINK("#'Results'!A1", "Results")</f>
        <v>Results</v>
      </c>
      <c r="D6" s="17" t="str" cm="1">
        <f t="array" ref="D6">Fertiliser_Equations_AtmosphericDeposition.VEERG_5_4_1_1__2_MassOfNitrogenVolatilisedFromInorganicFertiliser_Source()</f>
        <v>VEERG 2026: 5.4.1.1, Equation (2)</v>
      </c>
    </row>
    <row r="7" spans="1:21" ht="20.100000000000001" customHeight="1" x14ac:dyDescent="0.25">
      <c r="D7" s="117" t="s">
        <v>343</v>
      </c>
      <c r="E7" s="117" t="str" cm="1">
        <f t="array" aca="1" ref="E7" ca="1">Common_InputFunctions.Utility_DisplayFunctionName(H19)</f>
        <v>=Fertiliser_Equations_AtmosphericDeposition.VEERG_5_4_1_1__2_MassOfNitrogenVolatilisedFromInorganicFertiliser</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Site'!A1", "Site")</f>
        <v>Site</v>
      </c>
      <c r="D11" s="76" t="s">
        <v>118</v>
      </c>
      <c r="E11" s="9" t="str" cm="1">
        <f t="array" ref="E11">Fertiliser_Equations_AtmosphericDeposition.VEERG_5_4_1_1__2_MassOfNitrogenVolatilisedFromInorganicFertiliser_Unit()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4">_xlfn.CHOOSECOLS(Fertiliser_Equations_AtmosphericDeposition.VEERG_5_4_1_1__2_MassOfNitrogenVolatilisedFromInorganicFertiliser_Arguments(), 1, 2)</f>
        <v>MN_jf</v>
      </c>
      <c r="E13" s="124" t="str">
        <v>mass of nitrogen in inorganic fertiliser applied</v>
      </c>
      <c r="F13" s="125"/>
      <c r="G13" s="119" t="str" cm="1">
        <f t="array" ref="G13:H14">_xlfn.CHOOSECOLS(Fertiliser_Equations_AtmosphericDeposition.VEERG_5_4_1_1__2_MassOfNitrogenVolatilisedFromInorganicFertiliser_Arguments(), 3,4)</f>
        <v>kg N</v>
      </c>
      <c r="H13" s="127" t="str">
        <v>Calculated from 5.1.1.1 (2)</v>
      </c>
      <c r="I13" s="126" t="str" cm="1">
        <f t="array" aca="1" ref="I13" ca="1">HYPERLINK(Common_InputFunctions.Utility_SourceHyperlink($D$16),$D$16)</f>
        <v>Table_M_vol_inorganic_j_f</v>
      </c>
    </row>
    <row r="14" spans="1:21" ht="20.100000000000001" customHeight="1" x14ac:dyDescent="0.25">
      <c r="A14" s="5" t="str">
        <f>HYPERLINK("#'Input - Dairy cattle purchases'!A1", "Dairy cattle purchases")</f>
        <v>Dairy cattle purchases</v>
      </c>
      <c r="D14" s="119" t="str">
        <v>FracGASF_f</v>
      </c>
      <c r="E14" s="124" t="str">
        <v>fraction of inorganic fertiliser that volatilises</v>
      </c>
      <c r="F14" s="125"/>
      <c r="G14" s="119" t="str">
        <v>(kg NH3-N + NOx-N)/kg N</v>
      </c>
      <c r="H14" s="127" t="str">
        <v>Constant</v>
      </c>
      <c r="I14" s="126" t="str" cm="1">
        <f t="array" aca="1" ref="I14" ca="1">HYPERLINK(Common_InputFunctions.Utility_SourceHyperlink($D$16),$D$16)</f>
        <v>Table_M_vol_inorganic_j_f</v>
      </c>
    </row>
    <row r="15" spans="1:21" ht="20.100000000000001" customHeight="1" x14ac:dyDescent="0.25">
      <c r="A15" s="5" t="str">
        <f>HYPERLINK("#'Input - Pasture'!A1", "Pasture")</f>
        <v>Pasture</v>
      </c>
    </row>
    <row r="16" spans="1:21" ht="20.100000000000001" customHeight="1" x14ac:dyDescent="0.25">
      <c r="A16" s="5" t="str">
        <f>HYPERLINK("#'Input - Fert Prod System'!A1", "Fert Prod System")</f>
        <v>Fert Prod System</v>
      </c>
      <c r="D16" s="121" t="s">
        <v>763</v>
      </c>
    </row>
    <row r="17" spans="1:8" ht="20.100000000000001" customHeight="1" x14ac:dyDescent="0.25">
      <c r="A17" s="5" t="str">
        <f>HYPERLINK("#'Input - Fertiliser'!A1", "Fertiliser")</f>
        <v>Fertiliser</v>
      </c>
      <c r="D17" s="122" t="s">
        <v>764</v>
      </c>
    </row>
    <row r="18" spans="1:8" ht="20.100000000000001" customHeight="1" x14ac:dyDescent="0.25">
      <c r="A18" s="5" t="str">
        <f>HYPERLINK("#'Input - Fuel'!A1", "Fuel")</f>
        <v>Fuel</v>
      </c>
      <c r="D18" s="123" t="s">
        <v>765</v>
      </c>
      <c r="E18" s="123" t="s">
        <v>766</v>
      </c>
      <c r="F18" s="123" t="s">
        <v>767</v>
      </c>
      <c r="G18" s="189" t="s">
        <v>768</v>
      </c>
      <c r="H18" s="189" t="s">
        <v>769</v>
      </c>
    </row>
    <row r="19" spans="1:8" ht="20.100000000000001" customHeight="1" x14ac:dyDescent="0.25">
      <c r="A19" s="5" t="str">
        <f>HYPERLINK("#'Input - Electricity'!A1", "Electricity")</f>
        <v>Electricity</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5">
      <c r="A20" s="5" t="str">
        <f>HYPERLINK("#'Input - Common farm inputs'!A1", "Common farm inputs")</f>
        <v>Common farm inputs</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5">
      <c r="A21" s="5" t="str">
        <f>HYPERLINK("#'Input - Crop pasture farm input'!A1", "Crop pasture farm input")</f>
        <v>Crop pasture farm input</v>
      </c>
      <c r="D21" s="15" t="str">
        <v>Urea</v>
      </c>
      <c r="E21" s="15">
        <f>INDEX(Table_MN_j_f,4,4)</f>
        <v>0</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0</v>
      </c>
    </row>
    <row r="22" spans="1:8" ht="20.100000000000001" customHeight="1" x14ac:dyDescent="0.25">
      <c r="A22" s="5" t="str">
        <f>HYPERLINK("#'Input - Livestock farm Inputs'!A1", "Livestock farm Inputs")</f>
        <v>Livestock farm Inputs</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5">
      <c r="A23" s="5" t="str">
        <f>HYPERLINK("#'Input - Freight'!A1", "Freight")</f>
        <v>Freight</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5">
      <c r="A24" s="5" t="str">
        <f>HYPERLINK("#'Input - Solid waste'!A1", "Solid waste")</f>
        <v>Solid waste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5">
      <c r="A25" s="5" t="str">
        <f>HYPERLINK("#'Input - Manure sent off-site'!A1", "Manure sent off-site")</f>
        <v>Manure sent off-site</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5">
      <c r="A26" s="5" t="str">
        <f>HYPERLINK("#'Input - Data quality'!A1", "Data quality")</f>
        <v>Data quality</v>
      </c>
      <c r="D26" s="15" t="str">
        <v>Nitrogen - Ammoniacal</v>
      </c>
      <c r="E26" s="15">
        <f>INDEX(Table_MN_j_f,9,4)</f>
        <v>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0</v>
      </c>
    </row>
    <row r="27" spans="1:8" ht="20.100000000000001" customHeight="1" x14ac:dyDescent="0.25">
      <c r="D27" s="15" t="str">
        <v>Nitrogen - Nitrate</v>
      </c>
      <c r="E27" s="15">
        <f>INDEX(Table_MN_j_f,10,4)</f>
        <v>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0</v>
      </c>
    </row>
    <row r="28" spans="1:8" ht="20.100000000000001" customHeight="1" x14ac:dyDescent="0.25">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5">
      <c r="A29" s="6" t="s">
        <v>2</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5">
      <c r="A30" s="5" t="str">
        <f>HYPERLINK("#'3.3.1.1-2 Enteric Methane'!A1", "3.3.1.1-2 Enteric methane")</f>
        <v>3.3.1.1-2 Enteric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5">
      <c r="A31" s="5" t="str">
        <f>HYPERLINK("#'4.3.1.1-2 Methane'!A1", "4.3.1.1-2 Manure methane")</f>
        <v>4.3.1.1-2 Manure methane</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5">
      <c r="A32" s="5" t="str">
        <f>HYPERLINK("#'4.3.1.3-4 Direct N20'!A1", "4.3.1.3-4 Direct N20")</f>
        <v>4.3.1.3-4 Direct N20</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5">
      <c r="A33" s="5" t="str">
        <f>HYPERLINK("#'4.3.1.5 Atmos deposition'!A1", "4.3.1.5 Atmos deposition")</f>
        <v>4.3.1.5 Atmos deposition</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5">
      <c r="A34" s="5" t="str">
        <f>HYPERLINK("#'4.3.1.6-7 Leaching and runoff'!A1", "4.3.1.6-7 Leaching &amp; runoff")</f>
        <v>4.3.1.6-7 Leaching &amp; runoff</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5">
      <c r="A35" s="5" t="str">
        <f>HYPERLINK("#'4.3.1.8 Manure applied to soils'!A1", "4.3.1.8 Manure applied to soils")</f>
        <v>4.3.1.8 Manure applied to soils</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5">
      <c r="A36" s="5" t="str">
        <f>HYPERLINK("#'4.3.1.9 Soil direct N2O'!A1", "4.3.1.9 Soil direct N2O")</f>
        <v>4.3.1.9 Soil direct N2O</v>
      </c>
      <c r="D36" s="15" t="str">
        <v>Ammonia</v>
      </c>
      <c r="E36" s="15">
        <f>INDEX(Table_MN_j_f,19,4)</f>
        <v>0</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0</v>
      </c>
    </row>
    <row r="37" spans="1:12" ht="20.100000000000001" customHeight="1" x14ac:dyDescent="0.25">
      <c r="A37" s="5" t="str">
        <f>HYPERLINK("#'4.3.1.10-11 Soil Atmos Dep'!A1", "4.3.1.10-11 Soil Atmos Deposition")</f>
        <v>4.3.1.10-11 Soil Atmos Deposition</v>
      </c>
      <c r="D37" s="15" t="str">
        <v>Calcium nitrate</v>
      </c>
      <c r="E37" s="15">
        <f>INDEX(Table_MN_j_f,20,4)</f>
        <v>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0</v>
      </c>
    </row>
    <row r="38" spans="1:12" ht="20.100000000000001" customHeight="1" x14ac:dyDescent="0.25">
      <c r="A38" s="5" t="str">
        <f>HYPERLINK("#'4.3.1.12-13 Soil leach runoff'!A1", "4.3.1.12-13 Soil leach &amp; runoff")</f>
        <v>4.3.1.12-13 Soil leach &amp; runoff</v>
      </c>
    </row>
    <row r="39" spans="1:12" ht="20.100000000000001" customHeight="1" x14ac:dyDescent="0.25">
      <c r="A39" s="5" t="str">
        <f>HYPERLINK("#'5.1.1.1-2 Inorganic fert N2O'!A1", "5.1.1.1-2 Inorganic fert N2O")</f>
        <v>5.1.1.1-2 Inorganic fert N2O</v>
      </c>
    </row>
    <row r="40" spans="1:12" ht="20.100000000000001" customHeight="1" x14ac:dyDescent="0.25">
      <c r="A40" s="5" t="str">
        <f>HYPERLINK("#'5.1.1.3-4 Inorganic fert CO2'!A1", "5.1.1.3-4 Inorganic fert CO2")</f>
        <v>5.1.1.3-4 Inorganic fert CO2</v>
      </c>
      <c r="C40" s="186"/>
      <c r="D40" s="186"/>
      <c r="E40" s="186"/>
      <c r="F40" s="186"/>
      <c r="G40" s="186"/>
      <c r="H40" s="186"/>
      <c r="I40" s="186"/>
      <c r="J40" s="186"/>
      <c r="K40" s="186"/>
      <c r="L40" s="186"/>
    </row>
    <row r="41" spans="1:12" ht="20.100000000000001" customHeight="1" x14ac:dyDescent="0.25">
      <c r="A41" s="5" t="str">
        <f>HYPERLINK("#'5.2.1.1-2 Organic Fert N2O'!A1", "5.2.1.1-2 Organic fert N2O")</f>
        <v>5.2.1.1-2 Organic fert N2O</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HYPERLINK("#'5.3.1.1-2 Lime CO2'!A1", "5.3.1.1-2 Lime CO2")</f>
        <v>5.3.1.1-2 Lime CO2</v>
      </c>
      <c r="D42" s="17" t="str" cm="1">
        <f t="array" ref="D42">Fertiliser_Equations_AtmosphericDeposition.VEERG_5_4_1_1__1_InorganicFertiliserAtmosphericDepositionN2OEmissions_Source()</f>
        <v>VEERG 2026: 5.4.1.1, Equation (1)</v>
      </c>
    </row>
    <row r="43" spans="1:12" ht="20.100000000000001" customHeight="1" x14ac:dyDescent="0.25">
      <c r="A43" s="118" t="str">
        <f>HYPERLINK("#'5.4.1.1-4 Atmos deposition'!A1", "5.4.1.1-4 Atmos. deposition")</f>
        <v>5.4.1.1-4 Atmos. deposition</v>
      </c>
      <c r="D43" s="117" t="s">
        <v>343</v>
      </c>
      <c r="E43" s="117"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HYPERLINK("#'5.5.1.1-2 Leaching and runoff'!A1", "5.5.1.1-2 Leaching &amp; runoff")</f>
        <v>5.5.1.1-2 Leaching &amp; runoff</v>
      </c>
    </row>
    <row r="45" spans="1:12" ht="20.100000000000001" customHeight="1" x14ac:dyDescent="0.25">
      <c r="A45" s="5" t="str">
        <f>HYPERLINK("#'6.2.1.1-2 Pasture residue N2O'!A1", "6.2.1.1-2 Pasture residue N2O")</f>
        <v>6.2.1.1-2 Pasture residue N2O</v>
      </c>
    </row>
    <row r="46" spans="1:12" ht="20.100000000000001" customHeight="1" x14ac:dyDescent="0.25">
      <c r="A46" s="5" t="str">
        <f>HYPERLINK("#'6.3.1.1-2 Leach runoff pasture'!A1", "6.3.1.1-2 Leach &amp; runoff (pasture)")</f>
        <v>6.3.1.1-2 Leach &amp; runoff (pasture)</v>
      </c>
      <c r="D46" s="76" t="s">
        <v>344</v>
      </c>
      <c r="E46" s="1" t="str" cm="1">
        <f t="array" ref="E46">Fertiliser_Equations_AtmosphericDeposition.VEERG_5_4_1_1__1_InorganicFertiliserAtmosphericDepositionN2OEmissions_Variable()</f>
        <v>E_adinorganic</v>
      </c>
    </row>
    <row r="47" spans="1:12" ht="20.100000000000001" customHeight="1" x14ac:dyDescent="0.25">
      <c r="A47" s="5" t="str">
        <f>HYPERLINK("#'8.1.1.1-2 Transport fuel'!A1", "8.1.1.1-2 Transport fuel")</f>
        <v>8.1.1.1-2 Transport fuel</v>
      </c>
      <c r="D47" s="76" t="s">
        <v>118</v>
      </c>
      <c r="E47" s="9" t="str" cm="1">
        <f t="array" ref="E47">Fertiliser_Equations_AtmosphericDeposition.VEERG_5_4_1_1__1_InorganicFertiliserAtmosphericDepositionN2OEmissions_Unit()</f>
        <v>t N2O</v>
      </c>
    </row>
    <row r="48" spans="1:12" ht="20.100000000000001" customHeight="1" x14ac:dyDescent="0.25">
      <c r="A48" s="5" t="str">
        <f>HYPERLINK("#'8.2.1.1-2 Stationary fuel'!A1", "8.2.1.1-2 Stationary fuel")</f>
        <v>8.2.1.1-2 Stationary fuel</v>
      </c>
    </row>
    <row r="49" spans="1:10" ht="20.100000000000001" customHeight="1" x14ac:dyDescent="0.25">
      <c r="A49" s="5" t="str">
        <f>HYPERLINK("#'10.1.1-2 Solid waste treatment'!A1", "10.1.1.1-2 Solid waste")</f>
        <v>10.1.1.1-2 Solid waste</v>
      </c>
      <c r="D49" s="119" t="str" cm="1">
        <f t="array" ref="D49:E54">_xlfn.CHOOSECOLS(Fertiliser_Equations_AtmosphericDeposition.VEERG_5_4_1_1__1_InorganicFertiliserAtmosphericDepositionN2OEmissions_Arguments(), 1, 2)</f>
        <v>M_volinorganicjf</v>
      </c>
      <c r="E49" s="124" t="str">
        <v>mass of nitrogen volatilised from inorganic fertiliser applied to production system</v>
      </c>
      <c r="F49" s="132"/>
      <c r="G49" s="125"/>
      <c r="H49" s="119" t="str" cm="1">
        <f t="array" ref="H49:I54">_xlfn.CHOOSECOLS(Fertiliser_Equations_AtmosphericDeposition.VEERG_5_4_1_1__1_InorganicFertiliserAtmosphericDepositionN2OEmissions_Arguments(), 3,4)</f>
        <v>kg N</v>
      </c>
      <c r="I49" s="127" t="str">
        <v>Calculated from 5.4.1.1 (2)</v>
      </c>
      <c r="J49" s="126" t="str" cm="1">
        <f t="array" aca="1" ref="J49" ca="1">HYPERLINK(Common_InputFunctions.Utility_SourceHyperlink($D$16),$D$16)</f>
        <v>Table_M_vol_inorganic_j_f</v>
      </c>
    </row>
    <row r="50" spans="1:10" ht="20.100000000000001" customHeight="1" x14ac:dyDescent="0.25">
      <c r="A50" s="5" t="str">
        <f>HYPERLINK("#'14.1.1-2 Purchased electricity'!A1", "14.1.1-2 Purchased electricity")</f>
        <v>14.1.1-2 Purchased electricity</v>
      </c>
      <c r="D50" s="119" t="str">
        <v>EF_N2Oj</v>
      </c>
      <c r="E50" s="124" t="str">
        <v>emission factor for atmospheric deposition</v>
      </c>
      <c r="F50" s="132"/>
      <c r="G50" s="125"/>
      <c r="H50" s="119" t="str">
        <v>kg N2O-N/kg N</v>
      </c>
      <c r="I50" s="127" t="str">
        <v>Constant</v>
      </c>
      <c r="J50" s="119" t="e">
        <f>Common_InputFunctions.Utility_LookupN2OEFFromProdIrrigationRainfall(J52,J53,J54,Table_SourceData_Common_EFN2O[Production system only],Table_SourceData_Common_EFN2O[Irrigation method],Table_SourceData_Common_EFN2O[Rainfall zone],Table_SourceData_Common_EFN2O[EFN2O])</f>
        <v>#N/A</v>
      </c>
    </row>
    <row r="51" spans="1:10" ht="20.100000000000001" customHeight="1" x14ac:dyDescent="0.25">
      <c r="A51" s="5" t="str">
        <f>HYPERLINK("#'15 Scope 3'!A1", "15 Scope 3")</f>
        <v>15 Scope 3</v>
      </c>
      <c r="D51" s="119" t="str">
        <v>C_N2O</v>
      </c>
      <c r="E51" s="124" t="str">
        <v>factor to convert elemental mass of nitrous oxide to molecular mass</v>
      </c>
      <c r="F51" s="132"/>
      <c r="G51" s="125"/>
      <c r="H51" s="119" t="str">
        <v/>
      </c>
      <c r="I51" s="127" t="str">
        <v>Constant</v>
      </c>
      <c r="J51" s="131">
        <f>Common_InputFunctions.Utility_LookupValueInTableNumber("N2O",Table_GasToMolecularConversionFactor[Gas],Table_GasToMolecularConversionFactor[Conversion factor combined])</f>
        <v>1.5714285714285714</v>
      </c>
    </row>
    <row r="52" spans="1:10" ht="20.100000000000001" customHeight="1" x14ac:dyDescent="0.25">
      <c r="A52" s="5" t="str">
        <f>HYPERLINK("#'Calcs - Manure sent off-site'!A1", "Calcs - Manure sent off-site")</f>
        <v>Calcs - Manure sent off-site</v>
      </c>
      <c r="D52" s="119" t="str">
        <v>j</v>
      </c>
      <c r="E52" s="124" t="str">
        <v>Production system</v>
      </c>
      <c r="F52" s="132"/>
      <c r="G52" s="125"/>
      <c r="H52" s="119" t="str">
        <v/>
      </c>
      <c r="I52" s="120" t="str">
        <v>Input</v>
      </c>
      <c r="J52" s="119">
        <f>X_Cell_Fertiliser_ProductionSystem</f>
        <v>0</v>
      </c>
    </row>
    <row r="53" spans="1:10" ht="20.100000000000001" customHeight="1" x14ac:dyDescent="0.25">
      <c r="D53" s="119" t="str">
        <v>ir</v>
      </c>
      <c r="E53" s="124" t="str">
        <v>irrigation method</v>
      </c>
      <c r="F53" s="132"/>
      <c r="G53" s="125"/>
      <c r="H53" s="119" t="str">
        <v/>
      </c>
      <c r="I53" s="120" t="str">
        <v>Input</v>
      </c>
      <c r="J53" s="119" t="str">
        <f>X_Cell_Fertiliser_IrrigationMethod</f>
        <v>Pasture</v>
      </c>
    </row>
    <row r="54" spans="1:10" ht="20.100000000000001" customHeight="1" x14ac:dyDescent="0.25">
      <c r="D54" s="119" t="str">
        <v>r</v>
      </c>
      <c r="E54" s="124" t="str">
        <v>rainfall region</v>
      </c>
      <c r="F54" s="132"/>
      <c r="G54" s="125"/>
      <c r="H54" s="119" t="str">
        <v/>
      </c>
      <c r="I54" s="120" t="str">
        <v>Input</v>
      </c>
      <c r="J54" s="119">
        <f>X_Cell_Site_RainfallZone</f>
        <v>0</v>
      </c>
    </row>
    <row r="55" spans="1:10" ht="20.100000000000001" customHeight="1" x14ac:dyDescent="0.25">
      <c r="A55" s="83" t="s">
        <v>1</v>
      </c>
    </row>
    <row r="56" spans="1:10" ht="20.100000000000001" customHeight="1" x14ac:dyDescent="0.25">
      <c r="A56" s="5" t="str">
        <f>HYPERLINK("#'Constants - Dairy'!A1", "Constants - Dairy")</f>
        <v>Constants - Dairy</v>
      </c>
      <c r="D56" s="121" t="s">
        <v>770</v>
      </c>
    </row>
    <row r="57" spans="1:10" ht="20.100000000000001" customHeight="1" x14ac:dyDescent="0.25">
      <c r="A57" s="5" t="str">
        <f>HYPERLINK("#'Constants - Ag Residue'!A1", "Constants - Ag residue")</f>
        <v>Constants - Ag residue</v>
      </c>
      <c r="D57" s="122" t="s">
        <v>771</v>
      </c>
    </row>
    <row r="58" spans="1:10" ht="20.100000000000001" customHeight="1" x14ac:dyDescent="0.25">
      <c r="A58" s="5" t="str">
        <f>HYPERLINK("#'Constants - Common Livestock'!A1", "Constants - Common Livestock")</f>
        <v>Constants - Common Livestock</v>
      </c>
      <c r="D58" s="123" t="s">
        <v>765</v>
      </c>
      <c r="E58" s="189" t="s">
        <v>769</v>
      </c>
      <c r="F58" s="189" t="s">
        <v>772</v>
      </c>
    </row>
    <row r="59" spans="1:10" ht="20.100000000000001" customHeight="1" x14ac:dyDescent="0.25">
      <c r="A59" s="5" t="str">
        <f>HYPERLINK("#'Constants - Electricity'!A1", "Constants - Electricity")</f>
        <v>Constants - Electricity</v>
      </c>
      <c r="D59" s="15" t="str" cm="1">
        <f t="array" ref="D59:D77">Table_Fertiliser_ChemicalCompounds[Fertiliser type f]</f>
        <v>Monoammonium phosphate (MAP)</v>
      </c>
      <c r="E59" s="15">
        <f t="shared" ref="E59:E77" si="0">H19</f>
        <v>0</v>
      </c>
      <c r="F59" s="15" t="e" cm="1">
        <f t="array" ref="F59">Fertiliser_Equations_AtmosphericDeposition.VEERG_5_4_1_1__1_InorganicFertiliserAtmosphericDepositionN2OEmissions(E59,$J$50,$J$51)</f>
        <v>#N/A</v>
      </c>
      <c r="G59" s="16" t="str">
        <f>E47</f>
        <v>t N2O</v>
      </c>
    </row>
    <row r="60" spans="1:10" ht="20.100000000000001" customHeight="1" x14ac:dyDescent="0.25">
      <c r="A60" s="5" t="str">
        <f>HYPERLINK("#'Constants - Fertiliser'!A1", "Constants - Fertiliser")</f>
        <v>Constants - Fertiliser</v>
      </c>
      <c r="D60" s="15" t="str">
        <v>Diammonium phosphate (DAP)</v>
      </c>
      <c r="E60" s="15">
        <f t="shared" si="0"/>
        <v>0</v>
      </c>
      <c r="F60" s="15" t="e" cm="1">
        <f t="array" ref="F60">Fertiliser_Equations_AtmosphericDeposition.VEERG_5_4_1_1__1_InorganicFertiliserAtmosphericDepositionN2OEmissions(E60,$J$50,$J$51)</f>
        <v>#N/A</v>
      </c>
    </row>
    <row r="61" spans="1:10" ht="20.100000000000001" customHeight="1" x14ac:dyDescent="0.25">
      <c r="A61" s="5" t="str">
        <f>HYPERLINK("#'Constants - Fuel'!A1", "Constants - Fuel")</f>
        <v>Constants - Fuel</v>
      </c>
      <c r="D61" s="15" t="str">
        <v>Urea</v>
      </c>
      <c r="E61" s="15">
        <f t="shared" si="0"/>
        <v>0</v>
      </c>
      <c r="F61" s="15" t="e" cm="1">
        <f t="array" ref="F61">Fertiliser_Equations_AtmosphericDeposition.VEERG_5_4_1_1__1_InorganicFertiliserAtmosphericDepositionN2OEmissions(E61,$J$50,$J$51)</f>
        <v>#N/A</v>
      </c>
    </row>
    <row r="62" spans="1:10" ht="20.100000000000001" customHeight="1" x14ac:dyDescent="0.25">
      <c r="A62" s="5" t="str">
        <f>HYPERLINK("#'Constants - Scope 3'!A1", "Constants - Scope 3")</f>
        <v>Constants - Scope 3</v>
      </c>
      <c r="D62" s="15" t="str">
        <v>Sulphate of ammonia (SOA)</v>
      </c>
      <c r="E62" s="15">
        <f t="shared" si="0"/>
        <v>0</v>
      </c>
      <c r="F62" s="15" t="e" cm="1">
        <f t="array" ref="F62">Fertiliser_Equations_AtmosphericDeposition.VEERG_5_4_1_1__1_InorganicFertiliserAtmosphericDepositionN2OEmissions(E62,$J$50,$J$51)</f>
        <v>#N/A</v>
      </c>
    </row>
    <row r="63" spans="1:10" ht="20.100000000000001" customHeight="1" x14ac:dyDescent="0.25">
      <c r="A63" s="5" t="str">
        <f>HYPERLINK("#'Constants - Common'!A1", "Constants - Common")</f>
        <v>Constants - Common</v>
      </c>
      <c r="D63" s="15" t="str">
        <v>Urea-ammonium nitrate (UAN)</v>
      </c>
      <c r="E63" s="15">
        <f t="shared" si="0"/>
        <v>0</v>
      </c>
      <c r="F63" s="15" t="e" cm="1">
        <f t="array" ref="F63">Fertiliser_Equations_AtmosphericDeposition.VEERG_5_4_1_1__1_InorganicFertiliserAtmosphericDepositionN2OEmissions(E63,$J$50,$J$51)</f>
        <v>#N/A</v>
      </c>
    </row>
    <row r="64" spans="1:10" ht="20.100000000000001" customHeight="1" x14ac:dyDescent="0.25">
      <c r="A64" s="5" t="str">
        <f>HYPERLINK("#'Constants - Solid Waste'!A1", "Constants - Solid Waste")</f>
        <v>Constants - Solid Waste</v>
      </c>
      <c r="D64" s="15" t="str">
        <v>Ammonium nitrate (AN)</v>
      </c>
      <c r="E64" s="15">
        <f t="shared" si="0"/>
        <v>0</v>
      </c>
      <c r="F64" s="15" t="e" cm="1">
        <f t="array" ref="F64">Fertiliser_Equations_AtmosphericDeposition.VEERG_5_4_1_1__1_InorganicFertiliserAtmosphericDepositionN2OEmissions(E64,$J$50,$J$51)</f>
        <v>#N/A</v>
      </c>
    </row>
    <row r="65" spans="1:6" ht="20.100000000000001" customHeight="1" x14ac:dyDescent="0.25">
      <c r="A65" s="5" t="str">
        <f>HYPERLINK("#'Acknowledgements'!A1", "Acknowledgements")</f>
        <v>Acknowledgements</v>
      </c>
      <c r="D65" s="15" t="str">
        <v>Calcium ammonium nitrate (CAN)</v>
      </c>
      <c r="E65" s="15">
        <f t="shared" si="0"/>
        <v>0</v>
      </c>
      <c r="F65" s="15" t="e" cm="1">
        <f t="array" ref="F65">Fertiliser_Equations_AtmosphericDeposition.VEERG_5_4_1_1__1_InorganicFertiliserAtmosphericDepositionN2OEmissions(E65,$J$50,$J$51)</f>
        <v>#N/A</v>
      </c>
    </row>
    <row r="66" spans="1:6" ht="20.100000000000001" customHeight="1" x14ac:dyDescent="0.25">
      <c r="D66" s="15" t="str">
        <v>Nitrogen - Ammoniacal</v>
      </c>
      <c r="E66" s="15">
        <f t="shared" si="0"/>
        <v>0</v>
      </c>
      <c r="F66" s="15" t="e" cm="1">
        <f t="array" ref="F66">Fertiliser_Equations_AtmosphericDeposition.VEERG_5_4_1_1__1_InorganicFertiliserAtmosphericDepositionN2OEmissions(E66,$J$50,$J$51)</f>
        <v>#N/A</v>
      </c>
    </row>
    <row r="67" spans="1:6" ht="20.100000000000001" customHeight="1" x14ac:dyDescent="0.25">
      <c r="D67" s="15" t="str">
        <v>Nitrogen - Nitrate</v>
      </c>
      <c r="E67" s="15">
        <f t="shared" si="0"/>
        <v>0</v>
      </c>
      <c r="F67" s="15" t="e" cm="1">
        <f t="array" ref="F67">Fertiliser_Equations_AtmosphericDeposition.VEERG_5_4_1_1__1_InorganicFertiliserAtmosphericDepositionN2OEmissions(E67,$J$50,$J$51)</f>
        <v>#N/A</v>
      </c>
    </row>
    <row r="68" spans="1:6" ht="20.100000000000001" customHeight="1" x14ac:dyDescent="0.25">
      <c r="D68" s="15" t="str">
        <v>Nitrogen - Generic</v>
      </c>
      <c r="E68" s="15">
        <f t="shared" si="0"/>
        <v>0</v>
      </c>
      <c r="F68" s="15" t="e" cm="1">
        <f t="array" ref="F68">Fertiliser_Equations_AtmosphericDeposition.VEERG_5_4_1_1__1_InorganicFertiliserAtmosphericDepositionN2OEmissions(E68,$J$50,$J$51)</f>
        <v>#N/A</v>
      </c>
    </row>
    <row r="69" spans="1:6" ht="20.100000000000001" customHeight="1" x14ac:dyDescent="0.25">
      <c r="D69" s="15" t="str">
        <v>Phosphorus - Generic</v>
      </c>
      <c r="E69" s="15">
        <f t="shared" si="0"/>
        <v>0</v>
      </c>
      <c r="F69" s="15" t="e" cm="1">
        <f t="array" ref="F69">Fertiliser_Equations_AtmosphericDeposition.VEERG_5_4_1_1__1_InorganicFertiliserAtmosphericDepositionN2OEmissions(E69,$J$50,$J$51)</f>
        <v>#N/A</v>
      </c>
    </row>
    <row r="70" spans="1:6" ht="20.100000000000001" customHeight="1" x14ac:dyDescent="0.25">
      <c r="D70" s="15" t="str">
        <v>Potassium - Generic</v>
      </c>
      <c r="E70" s="15">
        <f t="shared" si="0"/>
        <v>0</v>
      </c>
      <c r="F70" s="15" t="e" cm="1">
        <f t="array" ref="F70">Fertiliser_Equations_AtmosphericDeposition.VEERG_5_4_1_1__1_InorganicFertiliserAtmosphericDepositionN2OEmissions(E70,$J$50,$J$51)</f>
        <v>#N/A</v>
      </c>
    </row>
    <row r="71" spans="1:6" ht="20.100000000000001" customHeight="1" x14ac:dyDescent="0.25">
      <c r="D71" s="15" t="str">
        <v>Sulfur - Generic</v>
      </c>
      <c r="E71" s="15">
        <f t="shared" si="0"/>
        <v>0</v>
      </c>
      <c r="F71" s="15" t="e" cm="1">
        <f t="array" ref="F71">Fertiliser_Equations_AtmosphericDeposition.VEERG_5_4_1_1__1_InorganicFertiliserAtmosphericDepositionN2OEmissions(E71,$J$50,$J$51)</f>
        <v>#N/A</v>
      </c>
    </row>
    <row r="72" spans="1:6" ht="20.100000000000001" customHeight="1" x14ac:dyDescent="0.25">
      <c r="D72" s="15" t="str">
        <v>Zinc - Generic</v>
      </c>
      <c r="E72" s="15">
        <f t="shared" si="0"/>
        <v>0</v>
      </c>
      <c r="F72" s="15" t="e" cm="1">
        <f t="array" ref="F72">Fertiliser_Equations_AtmosphericDeposition.VEERG_5_4_1_1__1_InorganicFertiliserAtmosphericDepositionN2OEmissions(E72,$J$50,$J$51)</f>
        <v>#N/A</v>
      </c>
    </row>
    <row r="73" spans="1:6" ht="20.100000000000001" customHeight="1" x14ac:dyDescent="0.25">
      <c r="D73" s="15" t="str">
        <v>Muriate of potash (MOP)</v>
      </c>
      <c r="E73" s="15">
        <f t="shared" si="0"/>
        <v>0</v>
      </c>
      <c r="F73" s="15" t="e" cm="1">
        <f t="array" ref="F73">Fertiliser_Equations_AtmosphericDeposition.VEERG_5_4_1_1__1_InorganicFertiliserAtmosphericDepositionN2OEmissions(E73,$J$50,$J$51)</f>
        <v>#N/A</v>
      </c>
    </row>
    <row r="74" spans="1:6" ht="20.100000000000001" customHeight="1" x14ac:dyDescent="0.25">
      <c r="D74" s="15" t="str">
        <v>Double superphosphate</v>
      </c>
      <c r="E74" s="15">
        <f t="shared" si="0"/>
        <v>0</v>
      </c>
      <c r="F74" s="15" t="e" cm="1">
        <f t="array" ref="F74">Fertiliser_Equations_AtmosphericDeposition.VEERG_5_4_1_1__1_InorganicFertiliserAtmosphericDepositionN2OEmissions(E74,$J$50,$J$51)</f>
        <v>#N/A</v>
      </c>
    </row>
    <row r="75" spans="1:6" ht="20.100000000000001" customHeight="1" x14ac:dyDescent="0.25">
      <c r="D75" s="15" t="str">
        <v>Single superphosphate (SSP)</v>
      </c>
      <c r="E75" s="15">
        <f t="shared" si="0"/>
        <v>0</v>
      </c>
      <c r="F75" s="15" t="e" cm="1">
        <f t="array" ref="F75">Fertiliser_Equations_AtmosphericDeposition.VEERG_5_4_1_1__1_InorganicFertiliserAtmosphericDepositionN2OEmissions(E75,$J$50,$J$51)</f>
        <v>#N/A</v>
      </c>
    </row>
    <row r="76" spans="1:6" ht="20.100000000000001" customHeight="1" x14ac:dyDescent="0.25">
      <c r="D76" s="15" t="str">
        <v>Ammonia</v>
      </c>
      <c r="E76" s="15">
        <f t="shared" si="0"/>
        <v>0</v>
      </c>
      <c r="F76" s="15" t="e" cm="1">
        <f t="array" ref="F76">Fertiliser_Equations_AtmosphericDeposition.VEERG_5_4_1_1__1_InorganicFertiliserAtmosphericDepositionN2OEmissions(E76,$J$50,$J$51)</f>
        <v>#N/A</v>
      </c>
    </row>
    <row r="77" spans="1:6" ht="20.100000000000001" customHeight="1" x14ac:dyDescent="0.25">
      <c r="D77" s="15" t="str">
        <v>Calcium nitrate</v>
      </c>
      <c r="E77" s="15">
        <f t="shared" si="0"/>
        <v>0</v>
      </c>
      <c r="F77" s="15" t="e" cm="1">
        <f t="array" ref="F77">Fertiliser_Equations_AtmosphericDeposition.VEERG_5_4_1_1__1_InorganicFertiliserAtmosphericDepositionN2OEmissions(E77,$J$50,$J$51)</f>
        <v>#N/A</v>
      </c>
    </row>
    <row r="78" spans="1:6" ht="20.100000000000001" customHeight="1" x14ac:dyDescent="0.25"/>
    <row r="79" spans="1:6" ht="20.100000000000001" customHeight="1" x14ac:dyDescent="0.25">
      <c r="D79" s="88" t="s">
        <v>773</v>
      </c>
      <c r="E79" s="91" t="e">
        <f>SUM(F59:F77)</f>
        <v>#N/A</v>
      </c>
      <c r="F79" s="90" t="str">
        <f>$E$47</f>
        <v>t N2O</v>
      </c>
    </row>
    <row r="80" spans="1:6" ht="20.100000000000001" customHeight="1" x14ac:dyDescent="0.25"/>
    <row r="81" spans="3:12" ht="20.100000000000001" customHeight="1" x14ac:dyDescent="0.25">
      <c r="D81" s="131" t="str" cm="1">
        <f t="array" ref="D81:E82">Common_Equations.Common_ConvertN2OToCO2e_Arguments()</f>
        <v>EN2O</v>
      </c>
      <c r="E81" s="134" t="str">
        <v>Nitrous oxide emissions (t N2O)</v>
      </c>
      <c r="F81" s="135"/>
      <c r="G81" s="15" t="e">
        <f>VEERG_5_4_1_1__1_InorganicFertiliserAtmosphericDepositionN2OEmissions_Result_Method1</f>
        <v>#N/A</v>
      </c>
    </row>
    <row r="82" spans="3:12" ht="20.100000000000001" customHeight="1" x14ac:dyDescent="0.25">
      <c r="D82" s="131" t="str">
        <v>GWPN2O</v>
      </c>
      <c r="E82" s="134" t="str">
        <v>Global warming potential for nitrous oxide (t CO2-e / t N2O)</v>
      </c>
      <c r="F82" s="135"/>
      <c r="G82" s="15">
        <f>Common_InputFunctions.Utility_LookupValueInTableNumber("N2O",Table_GWPData[Gas],Table_GWPData[CO2-e factor])</f>
        <v>265</v>
      </c>
    </row>
    <row r="83" spans="3:12" ht="20.100000000000001" customHeight="1" x14ac:dyDescent="0.25"/>
    <row r="84" spans="3:12" ht="20.100000000000001" customHeight="1" x14ac:dyDescent="0.25">
      <c r="D84" s="89" t="s">
        <v>493</v>
      </c>
      <c r="E84" s="89" t="e" cm="1">
        <f t="array" ref="E84">Common_Equations.Common_ConvertN2OToCO2e(G81,G82)</f>
        <v>#N/A</v>
      </c>
      <c r="F84" s="94"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86"/>
      <c r="D87" s="186"/>
      <c r="E87" s="186"/>
      <c r="F87" s="186"/>
      <c r="G87" s="186"/>
      <c r="H87" s="186"/>
      <c r="I87" s="186"/>
      <c r="J87" s="186"/>
      <c r="K87" s="186"/>
      <c r="L87" s="186"/>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17" t="str" cm="1">
        <f t="array" ref="D89">Fertiliser_Equations_AtmosphericDeposition.VEERG_5_4_1_3__2_MassOfNitrogenVolatilisedFromOrganicFertiliser_Source()</f>
        <v>VEERG 2026: 5.4.1.3, Equation (2)</v>
      </c>
    </row>
    <row r="90" spans="3:12" ht="20.100000000000001" customHeight="1" x14ac:dyDescent="0.25">
      <c r="D90" s="117" t="s">
        <v>343</v>
      </c>
      <c r="E90" s="117"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76" t="s">
        <v>344</v>
      </c>
      <c r="E93" s="1" t="str" cm="1">
        <f t="array" ref="E93">Fertiliser_Equations_AtmosphericDeposition.VEERG_5_4_1_3__2_MassOfNitrogenVolatilisedFromOrganicFertiliser_Variable()</f>
        <v>M_volorganicjf</v>
      </c>
    </row>
    <row r="94" spans="3:12" ht="20.100000000000001" customHeight="1" x14ac:dyDescent="0.25">
      <c r="D94" s="76" t="s">
        <v>118</v>
      </c>
      <c r="E94" s="9"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19" t="str" cm="1">
        <f t="array" ref="D96:E97">_xlfn.CHOOSECOLS(Fertiliser_Equations_AtmosphericDeposition.VEERG_5_4_1_3__2_MassOfNitrogenVolatilisedFromOrganicFertiliser_Arguments(), 1, 2)</f>
        <v>MNSoil_jf</v>
      </c>
      <c r="E96" s="119" t="str">
        <v>mass of nitrogen in organic fertiliser type f applied to production system j</v>
      </c>
      <c r="F96" s="119"/>
      <c r="G96" s="119" t="str" cm="1">
        <f t="array" ref="G96:H97">_xlfn.CHOOSECOLS(Fertiliser_Equations_AtmosphericDeposition.VEERG_5_4_1_3__2_MassOfNitrogenVolatilisedFromOrganicFertiliser_Arguments(), 3,4)</f>
        <v>kg N</v>
      </c>
      <c r="H96" s="127" t="str">
        <v>Calculated from 5.2.1.1 (2)</v>
      </c>
      <c r="I96" s="126" t="str" cm="1">
        <f t="array" aca="1" ref="I96" ca="1">HYPERLINK(Common_InputFunctions.Utility_SourceHyperlink($D$99), $D$99)</f>
        <v>Table_M_vol_organic_j_f</v>
      </c>
    </row>
    <row r="97" spans="4:9" ht="20.100000000000001" customHeight="1" x14ac:dyDescent="0.25">
      <c r="D97" s="119" t="str">
        <v>FracGASM_soil</v>
      </c>
      <c r="E97" s="119" t="str">
        <v>fraction of organic fertiliser N that volatilises</v>
      </c>
      <c r="F97" s="119"/>
      <c r="G97" s="119" t="str">
        <v>(kg NH3-N + NOx-N)/kg N</v>
      </c>
      <c r="H97" s="127" t="str">
        <v>Constant</v>
      </c>
      <c r="I97" s="119">
        <f>Fertiliser_FracGASMSoil_Data</f>
        <v>0.21</v>
      </c>
    </row>
    <row r="98" spans="4:9" ht="20.100000000000001" customHeight="1" x14ac:dyDescent="0.25"/>
    <row r="99" spans="4:9" ht="20.100000000000001" customHeight="1" x14ac:dyDescent="0.25">
      <c r="D99" s="121" t="s">
        <v>774</v>
      </c>
    </row>
    <row r="100" spans="4:9" ht="20.100000000000001" customHeight="1" x14ac:dyDescent="0.25">
      <c r="D100" s="122" t="s">
        <v>775</v>
      </c>
    </row>
    <row r="101" spans="4:9" ht="20.100000000000001" customHeight="1" x14ac:dyDescent="0.25">
      <c r="D101" s="81" t="s">
        <v>748</v>
      </c>
      <c r="E101" s="181" t="s">
        <v>752</v>
      </c>
      <c r="F101" s="181" t="s">
        <v>776</v>
      </c>
    </row>
    <row r="102" spans="4:9" ht="20.100000000000001" customHeight="1" x14ac:dyDescent="0.25">
      <c r="D102" s="15" t="str" cm="1">
        <f t="array" ref="D102:D104">Table_Input_OrganicFertiliser[Organic fertiliser type (select)]</f>
        <v>Manure - Other</v>
      </c>
      <c r="E102" s="15" t="e">
        <f>INDEX(Table_MNSoil_j_f,2,6)</f>
        <v>#VALUE!</v>
      </c>
      <c r="F102" s="15" t="e" cm="1">
        <f t="array" ref="F102">Fertiliser_Equations_AtmosphericDeposition.VEERG_5_4_1_3__2_MassOfNitrogenVolatilisedFromOrganicFertiliser(E102,$I$97)</f>
        <v>#VALUE!</v>
      </c>
      <c r="G102" s="16" t="str">
        <f>$E$94</f>
        <v>kg N</v>
      </c>
    </row>
    <row r="103" spans="4:9" ht="20.100000000000001" customHeight="1" x14ac:dyDescent="0.25">
      <c r="D103" s="15" t="str">
        <v>Manure - Poultry</v>
      </c>
      <c r="E103" s="15" t="e">
        <f>INDEX(Table_MNSoil_j_f,3,6)</f>
        <v>#VALUE!</v>
      </c>
      <c r="F103" s="15" t="e" cm="1">
        <f t="array" ref="F103">Fertiliser_Equations_AtmosphericDeposition.VEERG_5_4_1_3__2_MassOfNitrogenVolatilisedFromOrganicFertiliser(E103,$I$97)</f>
        <v>#VALUE!</v>
      </c>
    </row>
    <row r="104" spans="4:9" ht="20.100000000000001" customHeight="1" x14ac:dyDescent="0.25">
      <c r="D104" s="15" t="str">
        <v>Other organic fertiliser</v>
      </c>
      <c r="E104" s="15" t="e">
        <f>INDEX(Table_MNSoil_j_f,4,6)</f>
        <v>#VALUE!</v>
      </c>
      <c r="F104" s="15" t="e" cm="1">
        <f t="array" ref="F104">Fertiliser_Equations_AtmosphericDeposition.VEERG_5_4_1_3__2_MassOfNitrogenVolatilisedFromOrganicFertiliser(E104,$I$97)</f>
        <v>#VALUE!</v>
      </c>
    </row>
    <row r="105" spans="4:9" ht="20.100000000000001" customHeight="1" x14ac:dyDescent="0.25">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5">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5">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5">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5">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5">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5">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5">
      <c r="D112" s="15"/>
      <c r="E112" s="15">
        <f>'5.2.1.1-2 Organic Fert N2O'!I30</f>
        <v>0</v>
      </c>
      <c r="F112" s="1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86"/>
      <c r="D115" s="186"/>
      <c r="E115" s="186"/>
      <c r="F115" s="186"/>
      <c r="G115" s="186"/>
      <c r="H115" s="186"/>
      <c r="I115" s="186"/>
      <c r="J115" s="186"/>
      <c r="K115" s="186"/>
      <c r="L115" s="186"/>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17" t="str" cm="1">
        <f t="array" ref="D117">Fertiliser_Equations_AtmosphericDeposition.VEERG_5_4_1_3__1_OrganicFertiliserAtmosphericDepositionN2OEmissions_Source()</f>
        <v>VEERG 2026: 5.4.1.3, Equation (1)</v>
      </c>
    </row>
    <row r="118" spans="3:12" ht="20.100000000000001" customHeight="1" x14ac:dyDescent="0.25">
      <c r="D118" s="117" t="s">
        <v>343</v>
      </c>
      <c r="E118" s="117"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76" t="s">
        <v>344</v>
      </c>
      <c r="E121" s="1" t="str" cm="1">
        <f t="array" ref="E121">Fertiliser_Equations_AtmosphericDeposition.VEERG_5_4_1_3__1_OrganicFertiliserAtmosphericDepositionN2OEmissions_Variable()</f>
        <v>E_adorganic</v>
      </c>
    </row>
    <row r="122" spans="3:12" ht="20.100000000000001" customHeight="1" x14ac:dyDescent="0.25">
      <c r="D122" s="76" t="s">
        <v>118</v>
      </c>
      <c r="E122" s="9"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19" t="str" cm="1">
        <f t="array" ref="D124:E129">_xlfn.CHOOSECOLS(Fertiliser_Equations_AtmosphericDeposition.VEERG_5_4_1_3__1_OrganicFertiliserAtmosphericDepositionN2OEmissions_Arguments(), 1, 2)</f>
        <v>M_volorganicjf</v>
      </c>
      <c r="E124" s="124" t="str">
        <v>mass of nitrogen volatilised from organic fertiliser applied to production system</v>
      </c>
      <c r="F124" s="125"/>
      <c r="G124" s="119" t="str" cm="1">
        <f t="array" ref="G124:H129">_xlfn.CHOOSECOLS(Fertiliser_Equations_AtmosphericDeposition.VEERG_5_4_1_3__1_OrganicFertiliserAtmosphericDepositionN2OEmissions_Arguments(), 3,4)</f>
        <v>kg N</v>
      </c>
      <c r="H124" s="127" t="str">
        <v>Calculated from 5.4.1.3 (2)</v>
      </c>
      <c r="I124" s="126" t="str" cm="1">
        <f t="array" aca="1" ref="I124" ca="1">HYPERLINK(Common_InputFunctions.Utility_SourceHyperlink($D$99), $D$99)</f>
        <v>Table_M_vol_organic_j_f</v>
      </c>
    </row>
    <row r="125" spans="3:12" ht="20.100000000000001" customHeight="1" x14ac:dyDescent="0.25">
      <c r="D125" s="119" t="str">
        <v>EF_N2Oj</v>
      </c>
      <c r="E125" s="124" t="str">
        <v>emission factor for atmospheric deposition in production system j</v>
      </c>
      <c r="F125" s="125"/>
      <c r="G125" s="119" t="str">
        <v>kg N2O-N/kg N</v>
      </c>
      <c r="H125" s="127" t="str">
        <v>Constant</v>
      </c>
      <c r="I125" s="119" t="e">
        <f>Common_InputFunctions.Utility_LookupN2OEFFromProdIrrigationRainfall(I127,I128,I129,Table_SourceData_Common_EFN2O[Production system only],Table_SourceData_Common_EFN2O[Irrigation method],Table_SourceData_Common_EFN2O[Rainfall zone],Table_SourceData_Common_EFN2O[EFN2O])</f>
        <v>#N/A</v>
      </c>
    </row>
    <row r="126" spans="3:12" ht="20.100000000000001" customHeight="1" x14ac:dyDescent="0.25">
      <c r="D126" s="119" t="str">
        <v>C_N2O</v>
      </c>
      <c r="E126" s="124" t="str">
        <v>factor to convert elemental mass of nitrous oxide to molecular mass</v>
      </c>
      <c r="F126" s="125"/>
      <c r="G126" s="119" t="str">
        <v/>
      </c>
      <c r="H126" s="127" t="str">
        <v>Constant</v>
      </c>
      <c r="I126" s="131">
        <f>Common_InputFunctions.Utility_LookupValueInTableNumber("N2O",Table_GasToMolecularConversionFactor[Gas],Table_GasToMolecularConversionFactor[Conversion factor combined])</f>
        <v>1.5714285714285714</v>
      </c>
    </row>
    <row r="127" spans="3:12" ht="20.100000000000001" customHeight="1" x14ac:dyDescent="0.25">
      <c r="D127" s="119" t="str">
        <v>j</v>
      </c>
      <c r="E127" s="124" t="str">
        <v>Production system</v>
      </c>
      <c r="F127" s="125"/>
      <c r="G127" s="119" t="str">
        <v/>
      </c>
      <c r="H127" s="120" t="str">
        <v>Input</v>
      </c>
      <c r="I127" s="119">
        <f>X_Cell_Fertiliser_ProductionSystem</f>
        <v>0</v>
      </c>
    </row>
    <row r="128" spans="3:12" ht="20.100000000000001" customHeight="1" x14ac:dyDescent="0.25">
      <c r="D128" s="119" t="str">
        <v>ir</v>
      </c>
      <c r="E128" s="124" t="str">
        <v>irrigation method</v>
      </c>
      <c r="F128" s="125"/>
      <c r="G128" s="119" t="str">
        <v/>
      </c>
      <c r="H128" s="120" t="str">
        <v>Input</v>
      </c>
      <c r="I128" s="119" t="str">
        <f>X_Cell_Fertiliser_IrrigationMethod</f>
        <v>Pasture</v>
      </c>
    </row>
    <row r="129" spans="4:9" ht="20.100000000000001" customHeight="1" x14ac:dyDescent="0.25">
      <c r="D129" s="119" t="str">
        <v>r</v>
      </c>
      <c r="E129" s="124" t="str">
        <v>rainfall region</v>
      </c>
      <c r="F129" s="125"/>
      <c r="G129" s="119" t="str">
        <v/>
      </c>
      <c r="H129" s="120" t="str">
        <v>Input</v>
      </c>
      <c r="I129" s="119">
        <f>X_Cell_Site_RainfallZone</f>
        <v>0</v>
      </c>
    </row>
    <row r="130" spans="4:9" ht="20.100000000000001" customHeight="1" x14ac:dyDescent="0.25"/>
    <row r="131" spans="4:9" ht="20.100000000000001" customHeight="1" x14ac:dyDescent="0.25">
      <c r="D131" s="121" t="s">
        <v>777</v>
      </c>
    </row>
    <row r="132" spans="4:9" ht="20.100000000000001" customHeight="1" x14ac:dyDescent="0.25">
      <c r="D132" s="122" t="s">
        <v>778</v>
      </c>
    </row>
    <row r="133" spans="4:9" ht="20.100000000000001" customHeight="1" x14ac:dyDescent="0.25">
      <c r="D133" s="81" t="s">
        <v>748</v>
      </c>
      <c r="E133" s="181" t="s">
        <v>776</v>
      </c>
      <c r="F133" s="181" t="s">
        <v>779</v>
      </c>
    </row>
    <row r="134" spans="4:9" ht="20.100000000000001" customHeight="1" x14ac:dyDescent="0.25">
      <c r="D134" s="15" t="str" cm="1">
        <f t="array" ref="D134:D136">Table_Input_OrganicFertiliser[Organic fertiliser type (select)]</f>
        <v>Manure - Other</v>
      </c>
      <c r="E134" s="15" t="e">
        <f>F102</f>
        <v>#VALUE!</v>
      </c>
      <c r="F134" s="15" t="e" cm="1">
        <f t="array" ref="F134">Fertiliser_Equations_AtmosphericDeposition.VEERG_5_4_1_3__1_OrganicFertiliserAtmosphericDepositionN2OEmissions(E134,$I$125,$I$126)</f>
        <v>#VALUE!</v>
      </c>
    </row>
    <row r="135" spans="4:9" ht="20.100000000000001" customHeight="1" x14ac:dyDescent="0.25">
      <c r="D135" s="15" t="str">
        <v>Manure - Poultry</v>
      </c>
      <c r="E135" s="15" t="e">
        <f t="shared" ref="E135:E144" si="1">F103</f>
        <v>#VALUE!</v>
      </c>
      <c r="F135" s="15" t="e" cm="1">
        <f t="array" ref="F135">Fertiliser_Equations_AtmosphericDeposition.VEERG_5_4_1_3__1_OrganicFertiliserAtmosphericDepositionN2OEmissions(E135,$I$125,$I$126)</f>
        <v>#VALUE!</v>
      </c>
    </row>
    <row r="136" spans="4:9" ht="20.100000000000001" customHeight="1" x14ac:dyDescent="0.25">
      <c r="D136" s="15" t="str">
        <v>Other organic fertiliser</v>
      </c>
      <c r="E136" s="15" t="e">
        <f t="shared" si="1"/>
        <v>#VALUE!</v>
      </c>
      <c r="F136" s="15" t="e" cm="1">
        <f t="array" ref="F136">Fertiliser_Equations_AtmosphericDeposition.VEERG_5_4_1_3__1_OrganicFertiliserAtmosphericDepositionN2OEmissions(E136,$I$125,$I$126)</f>
        <v>#VALUE!</v>
      </c>
    </row>
    <row r="137" spans="4:9" ht="20.100000000000001" customHeight="1" x14ac:dyDescent="0.25">
      <c r="D137" s="15"/>
      <c r="E137" s="15">
        <f t="shared" si="1"/>
        <v>0</v>
      </c>
      <c r="F137" s="15" t="e" cm="1">
        <f t="array" ref="F137">Fertiliser_Equations_AtmosphericDeposition.VEERG_5_4_1_3__1_OrganicFertiliserAtmosphericDepositionN2OEmissions(E137,$I$125,$I$126)</f>
        <v>#N/A</v>
      </c>
    </row>
    <row r="138" spans="4:9" ht="20.100000000000001" customHeight="1" x14ac:dyDescent="0.25">
      <c r="D138" s="15"/>
      <c r="E138" s="15">
        <f t="shared" si="1"/>
        <v>0</v>
      </c>
      <c r="F138" s="15" t="e" cm="1">
        <f t="array" ref="F138">Fertiliser_Equations_AtmosphericDeposition.VEERG_5_4_1_3__1_OrganicFertiliserAtmosphericDepositionN2OEmissions(E138,$I$125,$I$126)</f>
        <v>#N/A</v>
      </c>
    </row>
    <row r="139" spans="4:9" ht="20.100000000000001" customHeight="1" x14ac:dyDescent="0.25">
      <c r="D139" s="15"/>
      <c r="E139" s="15">
        <f t="shared" si="1"/>
        <v>0</v>
      </c>
      <c r="F139" s="15" t="e" cm="1">
        <f t="array" ref="F139">Fertiliser_Equations_AtmosphericDeposition.VEERG_5_4_1_3__1_OrganicFertiliserAtmosphericDepositionN2OEmissions(E139,$I$125,$I$126)</f>
        <v>#N/A</v>
      </c>
    </row>
    <row r="140" spans="4:9" ht="20.100000000000001" customHeight="1" x14ac:dyDescent="0.25">
      <c r="D140" s="15"/>
      <c r="E140" s="15">
        <f t="shared" si="1"/>
        <v>0</v>
      </c>
      <c r="F140" s="15" t="e" cm="1">
        <f t="array" ref="F140">Fertiliser_Equations_AtmosphericDeposition.VEERG_5_4_1_3__1_OrganicFertiliserAtmosphericDepositionN2OEmissions(E140,$I$125,$I$126)</f>
        <v>#N/A</v>
      </c>
    </row>
    <row r="141" spans="4:9" ht="20.100000000000001" customHeight="1" x14ac:dyDescent="0.25">
      <c r="D141" s="15"/>
      <c r="E141" s="15">
        <f t="shared" si="1"/>
        <v>0</v>
      </c>
      <c r="F141" s="15" t="e" cm="1">
        <f t="array" ref="F141">Fertiliser_Equations_AtmosphericDeposition.VEERG_5_4_1_3__1_OrganicFertiliserAtmosphericDepositionN2OEmissions(E141,$I$125,$I$126)</f>
        <v>#N/A</v>
      </c>
    </row>
    <row r="142" spans="4:9" ht="20.100000000000001" customHeight="1" x14ac:dyDescent="0.25">
      <c r="D142" s="15"/>
      <c r="E142" s="15">
        <f t="shared" si="1"/>
        <v>0</v>
      </c>
      <c r="F142" s="15" t="e" cm="1">
        <f t="array" ref="F142">Fertiliser_Equations_AtmosphericDeposition.VEERG_5_4_1_3__1_OrganicFertiliserAtmosphericDepositionN2OEmissions(E142,$I$125,$I$126)</f>
        <v>#N/A</v>
      </c>
    </row>
    <row r="143" spans="4:9" ht="20.100000000000001" customHeight="1" x14ac:dyDescent="0.25">
      <c r="D143" s="15"/>
      <c r="E143" s="15">
        <f t="shared" si="1"/>
        <v>0</v>
      </c>
      <c r="F143" s="15" t="e" cm="1">
        <f t="array" ref="F143">Fertiliser_Equations_AtmosphericDeposition.VEERG_5_4_1_3__1_OrganicFertiliserAtmosphericDepositionN2OEmissions(E143,$I$125,$I$126)</f>
        <v>#N/A</v>
      </c>
    </row>
    <row r="144" spans="4:9" ht="20.100000000000001" customHeight="1" x14ac:dyDescent="0.25">
      <c r="D144" s="15"/>
      <c r="E144" s="15">
        <f t="shared" si="1"/>
        <v>0</v>
      </c>
      <c r="F144" s="15" t="e" cm="1">
        <f t="array" ref="F144">Fertiliser_Equations_AtmosphericDeposition.VEERG_5_4_1_3__1_OrganicFertiliserAtmosphericDepositionN2OEmissions(E144,$I$125,$I$126)</f>
        <v>#N/A</v>
      </c>
    </row>
    <row r="145" spans="4:7" ht="20.100000000000001" customHeight="1" x14ac:dyDescent="0.25"/>
    <row r="146" spans="4:7" ht="20.100000000000001" customHeight="1" x14ac:dyDescent="0.25">
      <c r="D146" s="88" t="s">
        <v>780</v>
      </c>
      <c r="E146" s="91" t="e">
        <f>SUM(F134:F144)</f>
        <v>#VALUE!</v>
      </c>
      <c r="F146" s="90" t="str">
        <f>$E$122</f>
        <v>t N2O</v>
      </c>
    </row>
    <row r="147" spans="4:7" ht="20.100000000000001" customHeight="1" x14ac:dyDescent="0.25"/>
    <row r="148" spans="4:7" ht="20.100000000000001" customHeight="1" x14ac:dyDescent="0.25">
      <c r="D148" s="131" t="str" cm="1">
        <f t="array" ref="D148:E149">Common_Equations.Common_ConvertN2OToCO2e_Arguments()</f>
        <v>EN2O</v>
      </c>
      <c r="E148" s="134" t="str">
        <v>Nitrous oxide emissions (t N2O)</v>
      </c>
      <c r="F148" s="135"/>
      <c r="G148" s="15" t="e">
        <f>VEERG_5_4_1_3__1_OrganicFertiliserAtmosphericDepositionN2OEmissions_Result_Method1</f>
        <v>#VALUE!</v>
      </c>
    </row>
    <row r="149" spans="4:7" ht="20.100000000000001" customHeight="1" x14ac:dyDescent="0.25">
      <c r="D149" s="131" t="str">
        <v>GWPN2O</v>
      </c>
      <c r="E149" s="134" t="str">
        <v>Global warming potential for nitrous oxide (t CO2-e / t N2O)</v>
      </c>
      <c r="F149" s="135"/>
      <c r="G149" s="15">
        <f>Common_InputFunctions.Utility_LookupValueInTableNumber("N2O",Table_GWPData[Gas],Table_GWPData[CO2-e factor])</f>
        <v>265</v>
      </c>
    </row>
    <row r="150" spans="4:7" ht="20.100000000000001" customHeight="1" x14ac:dyDescent="0.25"/>
    <row r="151" spans="4:7" ht="20.100000000000001" customHeight="1" x14ac:dyDescent="0.25">
      <c r="D151" s="89" t="s">
        <v>493</v>
      </c>
      <c r="E151" s="89" t="e" cm="1">
        <f t="array" ref="E151">Common_Equations.Common_ConvertN2OToCO2e(G148,G149)</f>
        <v>#VALUE!</v>
      </c>
      <c r="F151" s="94"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1D5C-DD05-48CC-AFF3-EE7C45BD0B7F}">
  <sheetPr>
    <tabColor rgb="FF008000"/>
  </sheetPr>
  <dimension ref="A1:T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781</v>
      </c>
    </row>
    <row r="2" spans="1:20" s="3" customFormat="1" ht="20.100000000000001" customHeight="1" x14ac:dyDescent="0.25">
      <c r="A2"/>
    </row>
    <row r="3" spans="1:20"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5" t="str">
        <f>HYPERLINK("#'Results'!A1", "Results")</f>
        <v>Results</v>
      </c>
      <c r="D6" s="17" t="str" cm="1">
        <f t="array" ref="D6">Fertiliser_Equations_LeachingAndRunoff.VEERG_5_5_1_1__2_MassOfNitrogenLeachedFromInorganicFertiliser_Source()</f>
        <v>VEERG 2026: 5.5, Equation (2)</v>
      </c>
    </row>
    <row r="7" spans="1:20" ht="20.100000000000001" customHeight="1" x14ac:dyDescent="0.25">
      <c r="D7" s="117" t="s">
        <v>343</v>
      </c>
      <c r="E7" s="117" t="str" cm="1">
        <f t="array" aca="1" ref="E7" ca="1">Common_InputFunctions.Utility_DisplayFunctionName(F23)</f>
        <v>=Fertiliser_Equations_LeachingAndRunoff.VEERG_5_5_1_1__2_MassOfNitrogenLeachedFromInorganicFertiliser</v>
      </c>
    </row>
    <row r="8" spans="1:20" ht="20.100000000000001" customHeight="1" x14ac:dyDescent="0.25"/>
    <row r="9" spans="1:20" ht="20.100000000000001" customHeight="1" x14ac:dyDescent="0.25">
      <c r="A9" s="7" t="s">
        <v>0</v>
      </c>
    </row>
    <row r="10" spans="1:20" ht="20.100000000000001" customHeight="1" x14ac:dyDescent="0.25">
      <c r="A10" s="5" t="str">
        <f>HYPERLINK("#'Input - Enterprise'!A1", "Enterprise")</f>
        <v>Enterprise</v>
      </c>
      <c r="D10" s="76" t="s">
        <v>344</v>
      </c>
      <c r="E10" s="1" t="str" cm="1">
        <f t="array" ref="E10">Fertiliser_Equations_LeachingAndRunoff.VEERG_5_5_1_1__2_MassOfNitrogenLeachedFromInorganicFertiliser_Variable()</f>
        <v>M_leachinorganicj</v>
      </c>
    </row>
    <row r="11" spans="1:20" ht="20.100000000000001" customHeight="1" x14ac:dyDescent="0.25">
      <c r="A11" s="5" t="str">
        <f>HYPERLINK("#'Input - Site'!A1", "Site")</f>
        <v>Site</v>
      </c>
      <c r="D11" s="76" t="s">
        <v>118</v>
      </c>
      <c r="E11" s="9" t="str" cm="1">
        <f t="array" ref="E11">Fertiliser_Equations_LeachingAndRunoff.VEERG_5_5_1_1__2_MassOfNitrogenLeachedFromInorganicFertiliser_Unit()</f>
        <v>kg N</v>
      </c>
    </row>
    <row r="12" spans="1:20" ht="20.100000000000001" customHeight="1" x14ac:dyDescent="0.25">
      <c r="A12" s="5" t="str">
        <f>HYPERLINK("#'Input - Dairy'!A1", "Dairy")</f>
        <v>Dairy</v>
      </c>
    </row>
    <row r="13" spans="1:20" ht="20.100000000000001" customHeight="1" x14ac:dyDescent="0.25">
      <c r="A13" s="5" t="str">
        <f>HYPERLINK("#'Input - Livestock sales'!A1", "Livestock sales")</f>
        <v>Livestock sales</v>
      </c>
      <c r="D13" s="119" t="str" cm="1">
        <f t="array" ref="D13:E18">_xlfn.CHOOSECOLS(Fertiliser_Equations_LeachingAndRunoff.VEERG_5_5_1_1__2_MassOfNitrogenLeachedFromInorganicFertiliser_Arguments(), 1, 2)</f>
        <v>MN_jf</v>
      </c>
      <c r="E13" s="124" t="str">
        <v>mass of nitrogen in inorganic fertiliser</v>
      </c>
      <c r="F13" s="125"/>
      <c r="G13" s="119" t="str" cm="1">
        <f t="array" ref="G13:H18">_xlfn.CHOOSECOLS(Fertiliser_Equations_LeachingAndRunoff.VEERG_5_5_1_1__2_MassOfNitrogenLeachedFromInorganicFertiliser_Arguments(), 3,4)</f>
        <v>kg N</v>
      </c>
      <c r="H13" s="127" t="str">
        <v>Calculated from 5.1.1.1 (2)</v>
      </c>
      <c r="I13" s="126" t="str" cm="1">
        <f t="array" aca="1" ref="I13" ca="1">HYPERLINK(Common_InputFunctions.Utility_SourceHyperlink(D20), D20)</f>
        <v>Table_M_leach_inorganic_j</v>
      </c>
    </row>
    <row r="14" spans="1:20" ht="20.100000000000001" customHeight="1" x14ac:dyDescent="0.25">
      <c r="A14" s="5" t="str">
        <f>HYPERLINK("#'Input - Dairy cattle purchases'!A1", "Dairy cattle purchases")</f>
        <v>Dairy cattle purchases</v>
      </c>
      <c r="D14" s="119" t="str">
        <v>FracWETj</v>
      </c>
      <c r="E14" s="124" t="str">
        <v>fraction of N available for leaching and runoff</v>
      </c>
      <c r="F14" s="125"/>
      <c r="G14" s="119" t="str">
        <v>fraction</v>
      </c>
      <c r="H14" s="127" t="str">
        <v>Constant</v>
      </c>
      <c r="I14" s="119">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5" t="str">
        <f>HYPERLINK("#'Input - Pasture'!A1", "Pasture")</f>
        <v>Pasture</v>
      </c>
      <c r="D15" s="119" t="str">
        <v>FracLEACH</v>
      </c>
      <c r="E15" s="124" t="str">
        <v>fraction of N that is lost through leaching and runoff</v>
      </c>
      <c r="F15" s="125"/>
      <c r="G15" s="119" t="str">
        <v>fraction</v>
      </c>
      <c r="H15" s="127" t="str">
        <v>Constant</v>
      </c>
      <c r="I15" s="119">
        <f>Fertiliser_FracLEACH_Data</f>
        <v>0.24</v>
      </c>
    </row>
    <row r="16" spans="1:20" ht="20.100000000000001" customHeight="1" x14ac:dyDescent="0.25">
      <c r="A16" s="5" t="str">
        <f>HYPERLINK("#'Input - Fert Prod System'!A1", "Fert Prod System")</f>
        <v>Fert Prod System</v>
      </c>
      <c r="D16" s="119" t="str">
        <v>z</v>
      </c>
      <c r="E16" s="124" t="str">
        <v>location in leaching zone</v>
      </c>
      <c r="F16" s="125"/>
      <c r="G16" s="119" t="str">
        <v/>
      </c>
      <c r="H16" s="120" t="str">
        <v>Input</v>
      </c>
      <c r="I16" s="119">
        <f>X_Cell_Site_LeachingZone</f>
        <v>0</v>
      </c>
    </row>
    <row r="17" spans="1:9" ht="20.100000000000001" customHeight="1" x14ac:dyDescent="0.25">
      <c r="A17" s="5" t="str">
        <f>HYPERLINK("#'Input - Fertiliser'!A1", "Fertiliser")</f>
        <v>Fertiliser</v>
      </c>
      <c r="D17" s="119" t="str">
        <v>j</v>
      </c>
      <c r="E17" s="124" t="str">
        <v>production system</v>
      </c>
      <c r="F17" s="125"/>
      <c r="G17" s="119" t="str">
        <v/>
      </c>
      <c r="H17" s="120" t="str">
        <v>Input</v>
      </c>
      <c r="I17" s="119">
        <f>X_Cell_Fertiliser_ProductionSystem</f>
        <v>0</v>
      </c>
    </row>
    <row r="18" spans="1:9" ht="20.100000000000001" customHeight="1" x14ac:dyDescent="0.25">
      <c r="A18" s="5" t="str">
        <f>HYPERLINK("#'Input - Fuel'!A1", "Fuel")</f>
        <v>Fuel</v>
      </c>
      <c r="D18" s="119" t="str">
        <v>ir</v>
      </c>
      <c r="E18" s="124" t="str">
        <v>irrigation method</v>
      </c>
      <c r="F18" s="125"/>
      <c r="G18" s="119" t="str">
        <v/>
      </c>
      <c r="H18" s="120" t="str">
        <v>Input</v>
      </c>
      <c r="I18" s="119" t="str">
        <f>X_Cell_Fertiliser_IrrigationMethod</f>
        <v>Pasture</v>
      </c>
    </row>
    <row r="19" spans="1:9" ht="20.100000000000001" customHeight="1" x14ac:dyDescent="0.25">
      <c r="A19" s="5" t="str">
        <f>HYPERLINK("#'Input - Electricity'!A1", "Electricity")</f>
        <v>Electricity</v>
      </c>
    </row>
    <row r="20" spans="1:9" ht="20.100000000000001" customHeight="1" x14ac:dyDescent="0.25">
      <c r="A20" s="5" t="str">
        <f>HYPERLINK("#'Input - Common farm inputs'!A1", "Common farm inputs")</f>
        <v>Common farm inputs</v>
      </c>
      <c r="D20" s="121" t="s">
        <v>782</v>
      </c>
    </row>
    <row r="21" spans="1:9" ht="20.100000000000001" customHeight="1" x14ac:dyDescent="0.25">
      <c r="A21" s="5" t="str">
        <f>HYPERLINK("#'Input - Crop pasture farm input'!A1", "Crop pasture farm input")</f>
        <v>Crop pasture farm input</v>
      </c>
      <c r="D21" s="122" t="s">
        <v>783</v>
      </c>
    </row>
    <row r="22" spans="1:9" ht="20.100000000000001" customHeight="1" x14ac:dyDescent="0.25">
      <c r="A22" s="5" t="str">
        <f>HYPERLINK("#'Input - Livestock farm Inputs'!A1", "Livestock farm Inputs")</f>
        <v>Livestock farm Inputs</v>
      </c>
      <c r="D22" s="123" t="s">
        <v>712</v>
      </c>
      <c r="E22" s="123" t="s">
        <v>766</v>
      </c>
      <c r="F22" s="123" t="s">
        <v>784</v>
      </c>
    </row>
    <row r="23" spans="1:9" ht="20.100000000000001" customHeight="1" x14ac:dyDescent="0.25">
      <c r="A23" s="5" t="str">
        <f>HYPERLINK("#'Input - Freight'!A1", "Freight")</f>
        <v>Freight</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5">
      <c r="A24" s="5" t="str">
        <f>HYPERLINK("#'Input - Solid waste'!A1", "Solid waste")</f>
        <v>Solid waste</v>
      </c>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5">
      <c r="A25" s="5" t="str">
        <f>HYPERLINK("#'Input - Manure sent off-site'!A1", "Manure sent off-site")</f>
        <v>Manure sent off-site</v>
      </c>
      <c r="D25" s="15" t="str">
        <v>Urea</v>
      </c>
      <c r="E25" s="15">
        <f>INDEX(Table_MN_j_f,4,4)</f>
        <v>0</v>
      </c>
      <c r="F25" s="15" cm="1">
        <f t="array" ref="F25">Fertiliser_Equations_LeachingAndRunoff.VEERG_5_5_1_1__2_MassOfNitrogenLeachedFromInorganicFertiliser(E25, $I$14, $I$15)</f>
        <v>0</v>
      </c>
    </row>
    <row r="26" spans="1:9" ht="20.100000000000001" customHeight="1" x14ac:dyDescent="0.25">
      <c r="A26" s="5" t="str">
        <f>HYPERLINK("#'Input - Data quality'!A1", "Data quality")</f>
        <v>Data quality</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5">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5">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5">
      <c r="A29" s="6" t="s">
        <v>2</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5">
      <c r="A30" s="5" t="str">
        <f>HYPERLINK("#'3.3.1.1-2 Enteric Methane'!A1", "3.3.1.1-2 Enteric methane")</f>
        <v>3.3.1.1-2 Enteric methane</v>
      </c>
      <c r="D30" s="15" t="str">
        <v>Nitrogen - Ammoniacal</v>
      </c>
      <c r="E30" s="15">
        <f>INDEX(Table_MN_j_f,9,4)</f>
        <v>0</v>
      </c>
      <c r="F30" s="15" cm="1">
        <f t="array" ref="F30">Fertiliser_Equations_LeachingAndRunoff.VEERG_5_5_1_1__2_MassOfNitrogenLeachedFromInorganicFertiliser(E30, $I$14, $I$15)</f>
        <v>0</v>
      </c>
    </row>
    <row r="31" spans="1:9" ht="20.100000000000001" customHeight="1" x14ac:dyDescent="0.25">
      <c r="A31" s="5" t="str">
        <f>HYPERLINK("#'4.3.1.1-2 Methane'!A1", "4.3.1.1-2 Manure methane")</f>
        <v>4.3.1.1-2 Manure methane</v>
      </c>
      <c r="D31" s="15" t="str">
        <v>Nitrogen - Nitrate</v>
      </c>
      <c r="E31" s="15">
        <f>INDEX(Table_MN_j_f,10,4)</f>
        <v>0</v>
      </c>
      <c r="F31" s="15" cm="1">
        <f t="array" ref="F31">Fertiliser_Equations_LeachingAndRunoff.VEERG_5_5_1_1__2_MassOfNitrogenLeachedFromInorganicFertiliser(E31, $I$14, $I$15)</f>
        <v>0</v>
      </c>
    </row>
    <row r="32" spans="1:9" ht="20.100000000000001" customHeight="1" x14ac:dyDescent="0.25">
      <c r="A32" s="5" t="str">
        <f>HYPERLINK("#'4.3.1.3-4 Direct N20'!A1", "4.3.1.3-4 Direct N20")</f>
        <v>4.3.1.3-4 Direct N20</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5">
      <c r="A33" s="5" t="str">
        <f>HYPERLINK("#'4.3.1.5 Atmos deposition'!A1", "4.3.1.5 Atmos deposition")</f>
        <v>4.3.1.5 Atmos deposition</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5">
      <c r="A34" s="5" t="str">
        <f>HYPERLINK("#'4.3.1.6-7 Leaching and runoff'!A1", "4.3.1.6-7 Leaching &amp; runoff")</f>
        <v>4.3.1.6-7 Leaching &amp; runoff</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5">
      <c r="A35" s="5" t="str">
        <f>HYPERLINK("#'4.3.1.8 Manure applied to soils'!A1", "4.3.1.8 Manure applied to soils")</f>
        <v>4.3.1.8 Manure applied to soils</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5">
      <c r="A36" s="5" t="str">
        <f>HYPERLINK("#'4.3.1.9 Soil direct N2O'!A1", "4.3.1.9 Soil direct N2O")</f>
        <v>4.3.1.9 Soil direct N2O</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5">
      <c r="A37" s="5" t="str">
        <f>HYPERLINK("#'4.3.1.10-11 Soil Atmos Dep'!A1", "4.3.1.10-11 Soil Atmos Deposition")</f>
        <v>4.3.1.10-11 Soil Atmos Deposition</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5">
      <c r="A38" s="5" t="str">
        <f>HYPERLINK("#'4.3.1.12-13 Soil leach runoff'!A1", "4.3.1.12-13 Soil leach &amp; runoff")</f>
        <v>4.3.1.12-13 Soil leach &amp; runoff</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5">
      <c r="A39" s="5" t="str">
        <f>HYPERLINK("#'5.1.1.1-2 Inorganic fert N2O'!A1", "5.1.1.1-2 Inorganic fert N2O")</f>
        <v>5.1.1.1-2 Inorganic fert N2O</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5">
      <c r="A40" s="5" t="str">
        <f>HYPERLINK("#'5.1.1.3-4 Inorganic fert CO2'!A1", "5.1.1.3-4 Inorganic fert CO2")</f>
        <v>5.1.1.3-4 Inorganic fert CO2</v>
      </c>
      <c r="D40" s="15" t="str">
        <v>Ammonia</v>
      </c>
      <c r="E40" s="15">
        <f>INDEX(Table_MN_j_f,19,4)</f>
        <v>0</v>
      </c>
      <c r="F40" s="15" cm="1">
        <f t="array" ref="F40">Fertiliser_Equations_LeachingAndRunoff.VEERG_5_5_1_1__2_MassOfNitrogenLeachedFromInorganicFertiliser(E40, $I$14, $I$15)</f>
        <v>0</v>
      </c>
    </row>
    <row r="41" spans="1:11" ht="20.100000000000001" customHeight="1" x14ac:dyDescent="0.25">
      <c r="A41" s="5" t="str">
        <f>HYPERLINK("#'5.2.1.1-2 Organic Fert N2O'!A1", "5.2.1.1-2 Organic fert N2O")</f>
        <v>5.2.1.1-2 Organic fert N2O</v>
      </c>
      <c r="D41" s="15" t="str">
        <v>Calcium nitrate</v>
      </c>
      <c r="E41" s="15">
        <f>INDEX(Table_MN_j_f,20,4)</f>
        <v>0</v>
      </c>
      <c r="F41" s="15" cm="1">
        <f t="array" ref="F41">Fertiliser_Equations_LeachingAndRunoff.VEERG_5_5_1_1__2_MassOfNitrogenLeachedFromInorganicFertiliser(E41, $I$14, $I$15)</f>
        <v>0</v>
      </c>
    </row>
    <row r="42" spans="1:11" ht="20.100000000000001" customHeight="1" x14ac:dyDescent="0.25">
      <c r="A42" s="5" t="str">
        <f>HYPERLINK("#'5.3.1.1-2 Lime CO2'!A1", "5.3.1.1-2 Lime CO2")</f>
        <v>5.3.1.1-2 Lime CO2</v>
      </c>
    </row>
    <row r="43" spans="1:11" ht="20.100000000000001" customHeight="1" x14ac:dyDescent="0.25">
      <c r="A43" s="5" t="str">
        <f>HYPERLINK("#'5.4.1.1-4 Atmos deposition'!A1", "5.4.1.1-4 Atmos. deposition")</f>
        <v>5.4.1.1-4 Atmos. deposition</v>
      </c>
      <c r="D43" s="93" t="s">
        <v>785</v>
      </c>
      <c r="E43" s="89">
        <f>SUM(F23:F41)</f>
        <v>0</v>
      </c>
      <c r="F43" s="94" t="str">
        <f>$E$11</f>
        <v>kg N</v>
      </c>
    </row>
    <row r="44" spans="1:11" ht="20.100000000000001" customHeight="1" x14ac:dyDescent="0.25">
      <c r="A44" s="118" t="str">
        <f>HYPERLINK("#'5.5.1.1-2 Leaching and runoff'!A1", "5.5.1.1-2 Leaching &amp; runoff")</f>
        <v>5.5.1.1-2 Leaching &amp; runoff</v>
      </c>
    </row>
    <row r="45" spans="1:11" ht="20.100000000000001" customHeight="1" x14ac:dyDescent="0.25">
      <c r="A45" s="5" t="str">
        <f>HYPERLINK("#'6.2.1.1-2 Pasture residue N2O'!A1", "6.2.1.1-2 Pasture residue N2O")</f>
        <v>6.2.1.1-2 Pasture residue N2O</v>
      </c>
      <c r="C45" s="190"/>
      <c r="D45" s="190"/>
      <c r="E45" s="190"/>
      <c r="F45" s="190"/>
      <c r="G45" s="190"/>
      <c r="H45" s="190"/>
      <c r="I45" s="190"/>
      <c r="J45" s="190"/>
      <c r="K45" s="190"/>
    </row>
    <row r="46" spans="1:11" ht="20.100000000000001" customHeight="1" x14ac:dyDescent="0.25">
      <c r="A46" s="5" t="str">
        <f>HYPERLINK("#'6.3.1.1-2 Leach runoff pasture'!A1", "6.3.1.1-2 Leach &amp; runoff (pasture)")</f>
        <v>6.3.1.1-2 Leach &amp; runoff (pasture)</v>
      </c>
    </row>
    <row r="47" spans="1:11" ht="20.100000000000001" customHeight="1" x14ac:dyDescent="0.25">
      <c r="A47" s="5" t="str">
        <f>HYPERLINK("#'8.1.1.1-2 Transport fuel'!A1", "8.1.1.1-2 Transport fuel")</f>
        <v>8.1.1.1-2 Transport fuel</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5" t="str">
        <f>HYPERLINK("#'8.2.1.1-2 Stationary fuel'!A1", "8.2.1.1-2 Stationary fuel")</f>
        <v>8.2.1.1-2 Stationary fuel</v>
      </c>
      <c r="D48" s="17" t="str" cm="1">
        <f t="array" ref="D48">Fertiliser_Equations_LeachingAndRunoff.VEERG_5_5_1_1__3_MassOfNitrogenLeachedFromOrganicFertiliser_Source()</f>
        <v>VEERG 2026: 5.5, Equation (3)</v>
      </c>
    </row>
    <row r="49" spans="1:9" ht="20.100000000000001" customHeight="1" x14ac:dyDescent="0.25">
      <c r="A49" s="5" t="str">
        <f>HYPERLINK("#'10.1.1-2 Solid waste treatment'!A1", "10.1.1.1-2 Solid waste")</f>
        <v>10.1.1.1-2 Solid waste</v>
      </c>
      <c r="D49" s="117" t="s">
        <v>343</v>
      </c>
      <c r="E49" s="117" t="str" cm="1">
        <f t="array" aca="1" ref="E49" ca="1">Common_InputFunctions.Utility_DisplayFunctionName(F65)</f>
        <v>=Fertiliser_Equations_LeachingAndRunoff.VEERG_5_5_1_1__3_MassOfNitrogenLeachedFromOrganicFertiliser</v>
      </c>
    </row>
    <row r="50" spans="1:9" ht="20.100000000000001" customHeight="1" x14ac:dyDescent="0.25">
      <c r="A50" s="5" t="str">
        <f>HYPERLINK("#'14.1.1-2 Purchased electricity'!A1", "14.1.1-2 Purchased electricity")</f>
        <v>14.1.1-2 Purchased electricity</v>
      </c>
    </row>
    <row r="51" spans="1:9" ht="20.100000000000001" customHeight="1" x14ac:dyDescent="0.25">
      <c r="A51" s="5" t="str">
        <f>HYPERLINK("#'15 Scope 3'!A1", "15 Scope 3")</f>
        <v>15 Scope 3</v>
      </c>
    </row>
    <row r="52" spans="1:9" ht="20.100000000000001" customHeight="1" x14ac:dyDescent="0.25">
      <c r="A52" s="5" t="str">
        <f>HYPERLINK("#'Calcs - Manure sent off-site'!A1", "Calcs - Manure sent off-site")</f>
        <v>Calcs - Manure sent off-site</v>
      </c>
      <c r="D52" s="76" t="s">
        <v>344</v>
      </c>
      <c r="E52" s="1" t="str" cm="1">
        <f t="array" ref="E52">Fertiliser_Equations_LeachingAndRunoff.VEERG_5_5_1_1__3_MassOfNitrogenLeachedFromOrganicFertiliser_Variable()</f>
        <v>M_leachorganicj</v>
      </c>
    </row>
    <row r="53" spans="1:9" ht="20.100000000000001" customHeight="1" x14ac:dyDescent="0.25">
      <c r="D53" s="76" t="s">
        <v>118</v>
      </c>
      <c r="E53" s="9" t="str" cm="1">
        <f t="array" ref="E53">Fertiliser_Equations_LeachingAndRunoff.VEERG_5_5_1_1__3_MassOfNitrogenLeachedFromOrganicFertiliser_Unit()</f>
        <v>kg N</v>
      </c>
    </row>
    <row r="54" spans="1:9" ht="20.100000000000001" customHeight="1" x14ac:dyDescent="0.25"/>
    <row r="55" spans="1:9" ht="20.100000000000001" customHeight="1" x14ac:dyDescent="0.25">
      <c r="A55" s="83" t="s">
        <v>1</v>
      </c>
      <c r="D55" s="119" t="str" cm="1">
        <f t="array" ref="D55:E60">_xlfn.CHOOSECOLS(Fertiliser_Equations_LeachingAndRunoff.VEERG_5_5_1_1__3_MassOfNitrogenLeachedFromOrganicFertiliser_Arguments(), 1, 2)</f>
        <v>MNSoil_jf</v>
      </c>
      <c r="E55" s="124" t="str">
        <v>mass of nitrogen in organic fertiliser</v>
      </c>
      <c r="F55" s="125"/>
      <c r="G55" s="119" t="str" cm="1">
        <f t="array" ref="G55:H60">_xlfn.CHOOSECOLS(Fertiliser_Equations_LeachingAndRunoff.VEERG_5_5_1_1__3_MassOfNitrogenLeachedFromOrganicFertiliser_Arguments(), 3,4)</f>
        <v>kg N</v>
      </c>
      <c r="H55" s="127" t="str">
        <v>Calculated from 5.2.1.1 (2)</v>
      </c>
      <c r="I55" s="126" t="str" cm="1">
        <f t="array" aca="1" ref="I55" ca="1">HYPERLINK(Common_InputFunctions.Utility_SourceHyperlink(D62), D62)</f>
        <v>Table_M_leach_organic_j</v>
      </c>
    </row>
    <row r="56" spans="1:9" ht="20.100000000000001" customHeight="1" x14ac:dyDescent="0.25">
      <c r="A56" s="5" t="str">
        <f>HYPERLINK("#'Constants - Dairy'!A1", "Constants - Dairy")</f>
        <v>Constants - Dairy</v>
      </c>
      <c r="D56" s="119" t="str">
        <v>FracWETj</v>
      </c>
      <c r="E56" s="124" t="str">
        <v>fraction of N available for leaching and runoff</v>
      </c>
      <c r="F56" s="125"/>
      <c r="G56" s="119" t="str">
        <v>fraction</v>
      </c>
      <c r="H56" s="127" t="str">
        <v>Constant</v>
      </c>
      <c r="I56" s="119">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5">
      <c r="A57" s="5" t="str">
        <f>HYPERLINK("#'Constants - Ag Residue'!A1", "Constants - Ag residue")</f>
        <v>Constants - Ag residue</v>
      </c>
      <c r="D57" s="119" t="str">
        <v>FracLEACH</v>
      </c>
      <c r="E57" s="124" t="str">
        <v>fraction of N that is lost through leaching and runoff</v>
      </c>
      <c r="F57" s="125"/>
      <c r="G57" s="119" t="str">
        <v>fraction</v>
      </c>
      <c r="H57" s="127" t="str">
        <v>Constant</v>
      </c>
      <c r="I57" s="119">
        <f>Fertiliser_FracLEACH_Data</f>
        <v>0.24</v>
      </c>
    </row>
    <row r="58" spans="1:9" ht="20.100000000000001" customHeight="1" x14ac:dyDescent="0.25">
      <c r="A58" s="5" t="str">
        <f>HYPERLINK("#'Constants - Common Livestock'!A1", "Constants - Common Livestock")</f>
        <v>Constants - Common Livestock</v>
      </c>
      <c r="D58" s="119" t="str">
        <v>z</v>
      </c>
      <c r="E58" s="124" t="str">
        <v>location in leaching zone</v>
      </c>
      <c r="F58" s="125"/>
      <c r="G58" s="119" t="str">
        <v/>
      </c>
      <c r="H58" s="120" t="str">
        <v>Input</v>
      </c>
      <c r="I58" s="119">
        <f>X_Cell_Site_LeachingZone</f>
        <v>0</v>
      </c>
    </row>
    <row r="59" spans="1:9" ht="20.100000000000001" customHeight="1" x14ac:dyDescent="0.25">
      <c r="A59" s="5" t="str">
        <f>HYPERLINK("#'Constants - Electricity'!A1", "Constants - Electricity")</f>
        <v>Constants - Electricity</v>
      </c>
      <c r="D59" s="119" t="str">
        <v>j</v>
      </c>
      <c r="E59" s="124" t="str">
        <v>production system</v>
      </c>
      <c r="F59" s="125"/>
      <c r="G59" s="119" t="str">
        <v/>
      </c>
      <c r="H59" s="120" t="str">
        <v>Input</v>
      </c>
      <c r="I59" s="119">
        <f>X_Cell_Fertiliser_ProductionSystem</f>
        <v>0</v>
      </c>
    </row>
    <row r="60" spans="1:9" ht="20.100000000000001" customHeight="1" x14ac:dyDescent="0.25">
      <c r="A60" s="5" t="str">
        <f>HYPERLINK("#'Constants - Fertiliser'!A1", "Constants - Fertiliser")</f>
        <v>Constants - Fertiliser</v>
      </c>
      <c r="D60" s="119" t="str">
        <v>ir</v>
      </c>
      <c r="E60" s="124" t="str">
        <v>irrigation method</v>
      </c>
      <c r="F60" s="125"/>
      <c r="G60" s="119" t="str">
        <v/>
      </c>
      <c r="H60" s="120" t="str">
        <v>Input</v>
      </c>
      <c r="I60" s="119" t="str">
        <f>X_Cell_Fertiliser_IrrigationMethod</f>
        <v>Pasture</v>
      </c>
    </row>
    <row r="61" spans="1:9" ht="20.100000000000001" customHeight="1" x14ac:dyDescent="0.25">
      <c r="A61" s="5" t="str">
        <f>HYPERLINK("#'Constants - Fuel'!A1", "Constants - Fuel")</f>
        <v>Constants - Fuel</v>
      </c>
    </row>
    <row r="62" spans="1:9" ht="20.100000000000001" customHeight="1" x14ac:dyDescent="0.25">
      <c r="A62" s="5" t="str">
        <f>HYPERLINK("#'Constants - Scope 3'!A1", "Constants - Scope 3")</f>
        <v>Constants - Scope 3</v>
      </c>
      <c r="D62" s="121" t="s">
        <v>786</v>
      </c>
    </row>
    <row r="63" spans="1:9" ht="20.100000000000001" customHeight="1" x14ac:dyDescent="0.25">
      <c r="A63" s="5" t="str">
        <f>HYPERLINK("#'Constants - Common'!A1", "Constants - Common")</f>
        <v>Constants - Common</v>
      </c>
      <c r="D63" s="122" t="s">
        <v>787</v>
      </c>
    </row>
    <row r="64" spans="1:9" ht="20.100000000000001" customHeight="1" x14ac:dyDescent="0.25">
      <c r="A64" s="5" t="str">
        <f>HYPERLINK("#'Constants - Solid Waste'!A1", "Constants - Solid Waste")</f>
        <v>Constants - Solid Waste</v>
      </c>
      <c r="D64" s="81" t="s">
        <v>748</v>
      </c>
      <c r="E64" s="191" t="s">
        <v>752</v>
      </c>
      <c r="F64" s="123" t="s">
        <v>788</v>
      </c>
    </row>
    <row r="65" spans="1:11" ht="20.100000000000001" customHeight="1" x14ac:dyDescent="0.25">
      <c r="A65" s="5" t="str">
        <f>HYPERLINK("#'Acknowledgements'!A1", "Acknowledgements")</f>
        <v>Acknowledgements</v>
      </c>
      <c r="D65" s="15" t="str">
        <f>INDEX(Table_MNSoil_j_f,2,1)</f>
        <v>Manure - Other</v>
      </c>
      <c r="E65" s="15" t="e">
        <f>INDEX(Table_MNSoil_j_f,2,6)</f>
        <v>#VALUE!</v>
      </c>
      <c r="F65" s="15" t="e" cm="1">
        <f t="array" ref="F65">Fertiliser_Equations_LeachingAndRunoff.VEERG_5_5_1_1__3_MassOfNitrogenLeachedFromOrganicFertiliser(E65,$I$56, $I$57)</f>
        <v>#VALUE!</v>
      </c>
    </row>
    <row r="66" spans="1:11" ht="20.100000000000001" customHeight="1" x14ac:dyDescent="0.25">
      <c r="D66" s="15" t="str">
        <f>INDEX(Table_MNSoil_j_f,3,1)</f>
        <v>Manure - Poultry</v>
      </c>
      <c r="E66" s="15" t="e">
        <f>INDEX(Table_MNSoil_j_f,3,6)</f>
        <v>#VALUE!</v>
      </c>
      <c r="F66" s="15" t="e" cm="1">
        <f t="array" ref="F66">Fertiliser_Equations_LeachingAndRunoff.VEERG_5_5_1_1__3_MassOfNitrogenLeachedFromOrganicFertiliser(E66,$I$56, $I$57)</f>
        <v>#VALUE!</v>
      </c>
    </row>
    <row r="67" spans="1:11" ht="20.100000000000001" customHeight="1" x14ac:dyDescent="0.25">
      <c r="D67" s="15" t="str">
        <f>INDEX(Table_MNSoil_j_f,4,1)</f>
        <v>Other organic fertiliser</v>
      </c>
      <c r="E67" s="15" t="e">
        <f>INDEX(Table_MNSoil_j_f,4,6)</f>
        <v>#VALUE!</v>
      </c>
      <c r="F67" s="15" t="e" cm="1">
        <f t="array" ref="F67">Fertiliser_Equations_LeachingAndRunoff.VEERG_5_5_1_1__3_MassOfNitrogenLeachedFromOrganicFertiliser(E67,$I$56, $I$57)</f>
        <v>#VALUE!</v>
      </c>
    </row>
    <row r="68" spans="1:11" ht="20.100000000000001" customHeight="1" x14ac:dyDescent="0.25">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5">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5">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5">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5">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5">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5">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5">
      <c r="D75" s="15">
        <f>'5.2.1.1-2 Organic Fert N2O'!D30</f>
        <v>0</v>
      </c>
      <c r="E75" s="15">
        <f>'5.2.1.1-2 Organic Fert N2O'!I30</f>
        <v>0</v>
      </c>
      <c r="F75" s="15"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93" t="s">
        <v>789</v>
      </c>
      <c r="E77" s="89" t="e">
        <f>SUM(F65:F75)</f>
        <v>#VALUE!</v>
      </c>
      <c r="F77" s="94" t="str">
        <f>$E$53</f>
        <v>kg N</v>
      </c>
    </row>
    <row r="78" spans="1:11" ht="20.100000000000001" customHeight="1" x14ac:dyDescent="0.25"/>
    <row r="79" spans="1:11" ht="20.100000000000001" customHeight="1" x14ac:dyDescent="0.25">
      <c r="C79" s="190"/>
      <c r="D79" s="190"/>
      <c r="E79" s="190"/>
      <c r="F79" s="190"/>
      <c r="G79" s="190"/>
      <c r="H79" s="190"/>
      <c r="I79" s="190"/>
      <c r="J79" s="190"/>
      <c r="K79" s="190"/>
    </row>
    <row r="80" spans="1: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17" t="str" cm="1">
        <f t="array" ref="D82">Fertiliser_Equations_LeachingAndRunoff.VEERG_5_5_1_1__1_FertiliserLeachingAndRunoffN2OEmissions_Source()</f>
        <v>VEERG 2026: 5.5, Equation (1)</v>
      </c>
    </row>
    <row r="83" spans="4:10" ht="20.100000000000001" customHeight="1" x14ac:dyDescent="0.25">
      <c r="D83" s="117" t="s">
        <v>343</v>
      </c>
      <c r="E83" s="117"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76" t="s">
        <v>344</v>
      </c>
      <c r="E86" s="1" t="str" cm="1">
        <f t="array" ref="E86">Fertiliser_Equations_LeachingAndRunoff.VEERG_5_5_1_1__1_FertiliserLeachingAndRunoffN2OEmissions_Variable()</f>
        <v>E_fertleach</v>
      </c>
    </row>
    <row r="87" spans="4:10" ht="20.100000000000001" customHeight="1" x14ac:dyDescent="0.25">
      <c r="D87" s="76" t="s">
        <v>118</v>
      </c>
      <c r="E87" s="9"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19" t="str" cm="1">
        <f t="array" ref="D89:E92">_xlfn.CHOOSECOLS(Fertiliser_Equations_LeachingAndRunoff.VEERG_5_5_1_1__1_FertiliserLeachingAndRunoffN2OEmissions_Arguments(), 1, 2)</f>
        <v>M_leachinorganicj</v>
      </c>
      <c r="E89" s="124" t="str">
        <v>mass of nitrogen lost through leaching and runoff from inorganic fertiliser application in production system j</v>
      </c>
      <c r="F89" s="132"/>
      <c r="G89" s="125"/>
      <c r="H89" s="119" t="str" cm="1">
        <f t="array" ref="H89:I92">_xlfn.CHOOSECOLS(Fertiliser_Equations_LeachingAndRunoff.VEERG_5_5_1_1__1_FertiliserLeachingAndRunoffN2OEmissions_Arguments(), 3,4)</f>
        <v>kg N</v>
      </c>
      <c r="I89" s="127" t="str">
        <v>Calculated from 5.5.1.1 (2)</v>
      </c>
      <c r="J89" s="119">
        <f>$E$43</f>
        <v>0</v>
      </c>
    </row>
    <row r="90" spans="4:10" ht="20.100000000000001" customHeight="1" x14ac:dyDescent="0.25">
      <c r="D90" s="119" t="str">
        <v>M_leachorganicj</v>
      </c>
      <c r="E90" s="124" t="str">
        <v>mass of nitrogen lost through leaching and runoff from organic fertiliser application</v>
      </c>
      <c r="F90" s="132"/>
      <c r="G90" s="125"/>
      <c r="H90" s="119" t="str">
        <v>kg N</v>
      </c>
      <c r="I90" s="127" t="str">
        <v>Calculated from 5.5.1.1 (3)</v>
      </c>
      <c r="J90" s="119" t="e">
        <f>$E$77</f>
        <v>#VALUE!</v>
      </c>
    </row>
    <row r="91" spans="4:10" ht="20.100000000000001" customHeight="1" x14ac:dyDescent="0.25">
      <c r="D91" s="119" t="str">
        <v>EF_leach</v>
      </c>
      <c r="E91" s="124" t="str">
        <v>emission factor for nitrogen leaching and runoff</v>
      </c>
      <c r="F91" s="132"/>
      <c r="G91" s="125"/>
      <c r="H91" s="119" t="str">
        <v>kg N2O-N/kg N</v>
      </c>
      <c r="I91" s="127" t="str">
        <v>Constant</v>
      </c>
      <c r="J91" s="119">
        <f>Fertiliser_EFLeach_Data</f>
        <v>1.0999999999999999E-2</v>
      </c>
    </row>
    <row r="92" spans="4:10" ht="20.100000000000001" customHeight="1" x14ac:dyDescent="0.25">
      <c r="D92" s="119" t="str">
        <v>C_N2O</v>
      </c>
      <c r="E92" s="124" t="str">
        <v>factor to convert elemental mass of nitrous oxide to molecular mass</v>
      </c>
      <c r="F92" s="132"/>
      <c r="G92" s="125"/>
      <c r="H92" s="119" t="str">
        <v/>
      </c>
      <c r="I92" s="127" t="str">
        <v>Constant</v>
      </c>
      <c r="J92" s="131">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88" t="s">
        <v>790</v>
      </c>
      <c r="E94" s="91" t="e" cm="1">
        <f t="array" ref="E94">Fertiliser_Equations_LeachingAndRunoff.VEERG_5_5_1_1__1_FertiliserLeachingAndRunoffN2OEmissions(J89,J90,J91,J92)</f>
        <v>#VALUE!</v>
      </c>
      <c r="F94" s="90" t="str">
        <f>$E$87</f>
        <v>t N2O</v>
      </c>
    </row>
    <row r="95" spans="4:10" ht="20.100000000000001" customHeight="1" x14ac:dyDescent="0.25"/>
    <row r="96" spans="4:10" ht="20.100000000000001" customHeight="1" x14ac:dyDescent="0.25">
      <c r="D96" s="131" t="str" cm="1">
        <f t="array" ref="D96:E97">Common_Equations.Common_ConvertN2OToCO2e_Arguments()</f>
        <v>EN2O</v>
      </c>
      <c r="E96" s="134" t="str">
        <v>Nitrous oxide emissions (t N2O)</v>
      </c>
      <c r="F96" s="135"/>
      <c r="G96" s="15" t="e">
        <f>VEERG_5_5_1_1__1_FertiliserLeachingAndRunoffN2OEmissions_result_Method1</f>
        <v>#VALUE!</v>
      </c>
    </row>
    <row r="97" spans="4:7" ht="20.100000000000001" customHeight="1" x14ac:dyDescent="0.25">
      <c r="D97" s="131" t="str">
        <v>GWPN2O</v>
      </c>
      <c r="E97" s="134" t="str">
        <v>Global warming potential for nitrous oxide (t CO2-e / t N2O)</v>
      </c>
      <c r="F97" s="135"/>
      <c r="G97" s="15">
        <f>Common_InputFunctions.Utility_LookupValueInTableNumber("N2O",Table_GWPData[Gas],Table_GWPData[CO2-e factor])</f>
        <v>265</v>
      </c>
    </row>
    <row r="98" spans="4:7" ht="20.100000000000001" customHeight="1" x14ac:dyDescent="0.25"/>
    <row r="99" spans="4:7" ht="20.100000000000001" customHeight="1" x14ac:dyDescent="0.25">
      <c r="D99" s="89" t="s">
        <v>493</v>
      </c>
      <c r="E99" s="89" t="e" cm="1">
        <f t="array" ref="E99">Common_Equations.Common_ConvertN2OToCO2e(G96,G97)</f>
        <v>#VALUE!</v>
      </c>
      <c r="F99" s="94"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FFB0-FC92-4B1B-B336-D78DCF181EB8}">
  <sheetPr>
    <tabColor rgb="FF008000"/>
  </sheetPr>
  <dimension ref="A1:U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0" customFormat="1" ht="30" customHeight="1" x14ac:dyDescent="0.35">
      <c r="A1" s="10" t="e" vm="1">
        <v>#VALUE!</v>
      </c>
      <c r="C1" s="20" t="s">
        <v>1047</v>
      </c>
    </row>
    <row r="2" spans="1:21" s="3" customFormat="1" ht="20.100000000000001" customHeight="1" x14ac:dyDescent="0.25">
      <c r="A2"/>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AgResidue_Equations_PastureResidue.VEERG_6_2_1_1__2__MassOfNitrogenInPastureResidues_Title()</f>
        <v>Mass of nitrogen in pasture residues returned to the soil</v>
      </c>
    </row>
    <row r="6" spans="1:21" ht="20.100000000000001" customHeight="1" x14ac:dyDescent="0.25">
      <c r="A6" s="5" t="str">
        <f>HYPERLINK("#'Results'!A1", "Results")</f>
        <v>Results</v>
      </c>
      <c r="D6" s="17" t="str" cm="1">
        <f t="array" ref="D6">AgResidue_Equations_PastureResidue.VEERG_6_2_1_1__2__MassOfNitrogenInPastureResidues_Source()</f>
        <v>VEERG 2026: 6.2.1.1, Equation (2)</v>
      </c>
    </row>
    <row r="7" spans="1:21" ht="20.100000000000001" customHeight="1" x14ac:dyDescent="0.25">
      <c r="D7" s="117" t="s">
        <v>343</v>
      </c>
      <c r="E7" s="117" t="str" cm="1">
        <f t="array" aca="1" ref="E7" ca="1">Common_InputFunctions.Utility_DisplayFunctionName(E21)</f>
        <v>=AgResidue_Equations_PastureResidue.VEERG_6_2_1_1__2__MassOfNitrogenInPastureResidues</v>
      </c>
    </row>
    <row r="8" spans="1:21" ht="20.100000000000001" customHeight="1" x14ac:dyDescent="0.25"/>
    <row r="9" spans="1:21" ht="20.100000000000001" customHeight="1" x14ac:dyDescent="0.25">
      <c r="A9" s="7" t="s">
        <v>0</v>
      </c>
    </row>
    <row r="10" spans="1:21" ht="20.100000000000001" customHeight="1" x14ac:dyDescent="0.25">
      <c r="A10" s="5" t="str">
        <f>HYPERLINK("#'Input - Enterprise'!A1", "Enterprise")</f>
        <v>Enterprise</v>
      </c>
      <c r="D10" s="24" t="s">
        <v>344</v>
      </c>
      <c r="E10" s="1" t="str" cm="1">
        <f t="array" ref="E10">AgResidue_Equations_PastureResidue.VEERG_6_2_1_1__2__MassOfNitrogenInPastureResidues_Variable()</f>
        <v>Mp</v>
      </c>
    </row>
    <row r="11" spans="1:21" ht="20.100000000000001" customHeight="1" x14ac:dyDescent="0.25">
      <c r="A11" s="5" t="str">
        <f>HYPERLINK("#'Input - Site'!A1", "Site")</f>
        <v>Site</v>
      </c>
      <c r="D11" s="24" t="s">
        <v>118</v>
      </c>
      <c r="E11" s="9" t="str" cm="1">
        <f t="array" ref="E11">AgResidue_Equations_PastureResidue.VEERG_6_2_1_1__2__MassOfNitrogenInPastureResidues_Unit()</f>
        <v>kg N</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9">_xlfn.CHOOSECOLS(AgResidue_Equations_PastureResidue.VEERG_6_2_1_1__2__MassOfNitrogenInPastureResidues_Arguments(), 1, 2)</f>
        <v>A_p</v>
      </c>
      <c r="E13" s="124" t="str">
        <v>area of pasture renewed or removed</v>
      </c>
      <c r="F13" s="132"/>
      <c r="G13" s="125"/>
      <c r="H13" s="119" t="str" cm="1">
        <f t="array" ref="H13:I19">_xlfn.CHOOSECOLS(AgResidue_Equations_PastureResidue.VEERG_6_2_1_1__2__MassOfNitrogenInPastureResidues_Arguments(), 3,4)</f>
        <v>ha</v>
      </c>
      <c r="I13" s="120" t="str">
        <v>Input</v>
      </c>
      <c r="J13" s="119">
        <f>X_Cell_Pasture_AreaRemovedOrRenewed</f>
        <v>500</v>
      </c>
      <c r="N13" s="119" t="str" cm="1">
        <f t="array" ref="N13:O19">_xlfn.CHOOSECOLS(AgResidue_Equations_PastureResidue.VEERG_6_2_1_1__2__MassOfNitrogenInPastureResidues_Arguments_Method2(), 1, 2)</f>
        <v>A_p</v>
      </c>
      <c r="O13" s="124" t="str">
        <v>area of pasture renewed or removed</v>
      </c>
      <c r="P13" s="132"/>
      <c r="Q13" s="125"/>
      <c r="R13" s="119" t="str" cm="1">
        <f t="array" ref="R13:S19">_xlfn.CHOOSECOLS(AgResidue_Equations_PastureResidue.VEERG_6_2_1_1__2__MassOfNitrogenInPastureResidues_Arguments_Method2(), 3,4)</f>
        <v>ha</v>
      </c>
      <c r="S13" s="120" t="str">
        <v>Input</v>
      </c>
      <c r="T13" s="119"/>
    </row>
    <row r="14" spans="1:21" ht="20.100000000000001" customHeight="1" x14ac:dyDescent="0.25">
      <c r="A14" s="5" t="str">
        <f>HYPERLINK("#'Input - Dairy cattle purchases'!A1", "Dairy cattle purchases")</f>
        <v>Dairy cattle purchases</v>
      </c>
      <c r="D14" s="119" t="str">
        <v>Y_p</v>
      </c>
      <c r="E14" s="124" t="str">
        <v>average yield of pasture crop</v>
      </c>
      <c r="F14" s="132"/>
      <c r="G14" s="125"/>
      <c r="H14" s="119" t="str">
        <v>t DM/ha</v>
      </c>
      <c r="I14" s="127" t="str">
        <v>Constant</v>
      </c>
      <c r="J14" s="119" cm="1">
        <f t="array" ref="J14">Common_InputFunctions.Utility_LookupValueInTableNumber($J$19,Table_SourceData_PastureAttributes[Pasture type],Table_SourceData_PastureAttributes[Average Yield (t DM ha) Yp])</f>
        <v>8.34</v>
      </c>
      <c r="N14" s="119" t="str">
        <v>Y_p</v>
      </c>
      <c r="O14" s="124" t="str">
        <v>average yield of pasture crop</v>
      </c>
      <c r="P14" s="132"/>
      <c r="Q14" s="125"/>
      <c r="R14" s="119" t="str">
        <v>t DM/ha</v>
      </c>
      <c r="S14" s="120" t="str">
        <v>Input</v>
      </c>
      <c r="T14" s="119">
        <f>X_Cell_Pasture_YieldPerHectare</f>
        <v>8.34</v>
      </c>
    </row>
    <row r="15" spans="1:21" ht="20.100000000000001" customHeight="1" x14ac:dyDescent="0.25">
      <c r="A15" s="5" t="str">
        <f>HYPERLINK("#'Input - Pasture'!A1", "Pasture")</f>
        <v>Pasture</v>
      </c>
      <c r="D15" s="119" t="str">
        <v>NC_AGp</v>
      </c>
      <c r="E15" s="124" t="str">
        <v>N content of above-ground pasture residue</v>
      </c>
      <c r="F15" s="132"/>
      <c r="G15" s="125"/>
      <c r="H15" s="119" t="str">
        <v>kg N/kg DM</v>
      </c>
      <c r="I15" s="127" t="str">
        <v>Constant</v>
      </c>
      <c r="J15" s="119" cm="1">
        <f t="array" ref="J15">Common_InputFunctions.Utility_LookupValueInTableNumber($J$19,Table_SourceData_PastureAttributes[Pasture type],Table_SourceData_PastureAttributes[N content Above-ground NCAGp])</f>
        <v>2.5000000000000001E-2</v>
      </c>
      <c r="N15" s="119" t="str">
        <v>NC_AGp</v>
      </c>
      <c r="O15" s="124" t="str">
        <v>N content of above-ground pasture residue</v>
      </c>
      <c r="P15" s="132"/>
      <c r="Q15" s="125"/>
      <c r="R15" s="119" t="str">
        <v>kg N/kg DM</v>
      </c>
      <c r="S15" s="127" t="str">
        <v>Constant</v>
      </c>
      <c r="T15" s="119"/>
    </row>
    <row r="16" spans="1:21" ht="20.100000000000001" customHeight="1" x14ac:dyDescent="0.25">
      <c r="A16" s="5" t="str">
        <f>HYPERLINK("#'Input - Fert Prod System'!A1", "Fert Prod System")</f>
        <v>Fert Prod System</v>
      </c>
      <c r="D16" s="119" t="str">
        <v>R_BGp</v>
      </c>
      <c r="E16" s="124" t="str">
        <v>below-ground residue to above-ground residue ratio for pasture crop</v>
      </c>
      <c r="F16" s="132"/>
      <c r="G16" s="125"/>
      <c r="H16" s="119" t="str">
        <v/>
      </c>
      <c r="I16" s="127" t="str">
        <v>Constant</v>
      </c>
      <c r="J16" s="119" cm="1">
        <f t="array" ref="J16">Common_InputFunctions.Utility_LookupValueInTableNumber($J$19,Table_SourceData_PastureAttributes[Pasture type],Table_SourceData_PastureAttributes[Below-ground: above-ground residue ratio RBGp])</f>
        <v>0.8</v>
      </c>
      <c r="N16" s="119" t="str">
        <v>R_BGp</v>
      </c>
      <c r="O16" s="124" t="str">
        <v>below-ground residue to above-ground residue ratio for pasture crop</v>
      </c>
      <c r="P16" s="132"/>
      <c r="Q16" s="125"/>
      <c r="R16" s="119" t="str">
        <v/>
      </c>
      <c r="S16" s="127" t="str">
        <v>Constant</v>
      </c>
      <c r="T16" s="119"/>
    </row>
    <row r="17" spans="1:21" ht="20.100000000000001" customHeight="1" x14ac:dyDescent="0.25">
      <c r="A17" s="5" t="str">
        <f>HYPERLINK("#'Input - Fertiliser'!A1", "Fertiliser")</f>
        <v>Fertiliser</v>
      </c>
      <c r="D17" s="119" t="str">
        <v>NC_BGp</v>
      </c>
      <c r="E17" s="124" t="str">
        <v>N content of below-ground pasture crop residue</v>
      </c>
      <c r="F17" s="132"/>
      <c r="G17" s="125"/>
      <c r="H17" s="119" t="str">
        <v>kg N/kg DM</v>
      </c>
      <c r="I17" s="127" t="str">
        <v>Constant</v>
      </c>
      <c r="J17" s="119" cm="1">
        <f t="array" ref="J17">Common_InputFunctions.Utility_LookupValueInTableNumber($J$19,Table_SourceData_PastureAttributes[Pasture type],Table_SourceData_PastureAttributes[N content Below-ground NCBGp])</f>
        <v>1.6E-2</v>
      </c>
      <c r="N17" s="119" t="str">
        <v>NC_BGp</v>
      </c>
      <c r="O17" s="124" t="str">
        <v>N content of below-ground pasture crop residue</v>
      </c>
      <c r="P17" s="132"/>
      <c r="Q17" s="125"/>
      <c r="R17" s="119" t="str">
        <v>kg N/kg DM</v>
      </c>
      <c r="S17" s="127" t="str">
        <v>Constant</v>
      </c>
      <c r="T17" s="119"/>
    </row>
    <row r="18" spans="1:21" ht="20.100000000000001" customHeight="1" x14ac:dyDescent="0.25">
      <c r="A18" s="5" t="str">
        <f>HYPERLINK("#'Input - Fuel'!A1", "Fuel")</f>
        <v>Fuel</v>
      </c>
      <c r="D18" s="119" t="str">
        <v>FFOD_p</v>
      </c>
      <c r="E18" s="124" t="str">
        <v>fraction of pasture yield that is removed</v>
      </c>
      <c r="F18" s="132"/>
      <c r="G18" s="125"/>
      <c r="H18" s="119" t="str">
        <v>fraction</v>
      </c>
      <c r="I18" s="127" t="str">
        <v>Constant</v>
      </c>
      <c r="J18" s="119" cm="1">
        <f t="array" ref="J18">Common_InputFunctions.Utility_LookupValueInTableNumber($J$19,Table_SourceData_PastureAttributes[Pasture type],Table_SourceData_PastureAttributes[Fraction of pasture yield that is removed FFODp])</f>
        <v>0.8</v>
      </c>
      <c r="N18" s="119" t="str">
        <v>FFOD_p</v>
      </c>
      <c r="O18" s="124" t="str">
        <v>fraction of pasture yield that is removed</v>
      </c>
      <c r="P18" s="132"/>
      <c r="Q18" s="125"/>
      <c r="R18" s="119" t="str">
        <v>fraction</v>
      </c>
      <c r="S18" s="127" t="str">
        <v>Constant</v>
      </c>
      <c r="T18" s="119"/>
    </row>
    <row r="19" spans="1:21" ht="20.100000000000001" customHeight="1" x14ac:dyDescent="0.25">
      <c r="A19" s="5" t="str">
        <f>HYPERLINK("#'Input - Electricity'!A1", "Electricity")</f>
        <v>Electricity</v>
      </c>
      <c r="D19" s="119" t="str">
        <v>p</v>
      </c>
      <c r="E19" s="124" t="str">
        <v>Pasture type</v>
      </c>
      <c r="F19" s="132"/>
      <c r="G19" s="125"/>
      <c r="H19" s="119" t="str">
        <v/>
      </c>
      <c r="I19" s="120" t="str">
        <v>Input</v>
      </c>
      <c r="J19" s="119" t="str">
        <f>X_Cell_Pasture_PastureType</f>
        <v>Grass clover mixture</v>
      </c>
      <c r="N19" s="119" t="str">
        <v>p</v>
      </c>
      <c r="O19" s="124" t="str">
        <v>Pasture type</v>
      </c>
      <c r="P19" s="132"/>
      <c r="Q19" s="125"/>
      <c r="R19" s="119" t="str">
        <v/>
      </c>
      <c r="S19" s="120" t="str">
        <v>Input</v>
      </c>
      <c r="T19" s="119"/>
    </row>
    <row r="20" spans="1:21" ht="20.100000000000001" customHeight="1" x14ac:dyDescent="0.25">
      <c r="A20" s="5" t="str">
        <f>HYPERLINK("#'Input - Common farm inputs'!A1", "Common farm inputs")</f>
        <v>Common farm inputs</v>
      </c>
    </row>
    <row r="21" spans="1:21" ht="20.100000000000001" customHeight="1" x14ac:dyDescent="0.25">
      <c r="A21" s="5" t="str">
        <f>HYPERLINK("#'Input - Crop pasture farm input'!A1", "Crop pasture farm input")</f>
        <v>Crop pasture farm input</v>
      </c>
      <c r="D21" s="93" t="s">
        <v>1048</v>
      </c>
      <c r="E21" s="89" cm="1">
        <f t="array" ref="E21">AgResidue_Equations_PastureResidue.VEERG_6_2_1_1__2__MassOfNitrogenInPastureResidues(J13,J14,J18,J15,J16,J17)</f>
        <v>7.4226E-2</v>
      </c>
      <c r="F21" s="94" t="str" cm="1">
        <f t="array" ref="F21">AgResidue_Equations_PastureResidue.VEERG_6_2_1_1__2__MassOfNitrogenInPastureResidues_Unit()</f>
        <v>kg N</v>
      </c>
      <c r="N21" s="93" t="s">
        <v>1048</v>
      </c>
      <c r="O21" s="89" cm="1">
        <f t="array" ref="O21">AgResidue_Equations_PastureResidue.VEERG_6_2_1_1__2__MassOfNitrogenInPastureResidues(J13,T14,J18,J15,J16,J17)</f>
        <v>7.4226E-2</v>
      </c>
      <c r="P21" s="94" t="str" cm="1">
        <f t="array" ref="P21">AgResidue_Equations_PastureResidue.VEERG_6_2_1_1__2__MassOfNitrogenInPastureResidues_Unit()</f>
        <v>kg N</v>
      </c>
    </row>
    <row r="22" spans="1:21" ht="20.100000000000001" customHeight="1" x14ac:dyDescent="0.25">
      <c r="A22" s="5" t="str">
        <f>HYPERLINK("#'Input - Livestock farm Inputs'!A1", "Livestock farm Inputs")</f>
        <v>Livestock farm Inputs</v>
      </c>
    </row>
    <row r="23" spans="1:21" ht="20.100000000000001" customHeight="1" x14ac:dyDescent="0.25">
      <c r="A23" s="5" t="str">
        <f>HYPERLINK("#'Input - Freight'!A1", "Freight")</f>
        <v>Freight</v>
      </c>
    </row>
    <row r="24" spans="1:21" ht="20.100000000000001" customHeight="1" x14ac:dyDescent="0.25">
      <c r="A24" s="5" t="str">
        <f>HYPERLINK("#'Input - Solid waste'!A1", "Solid waste")</f>
        <v>Solid waste</v>
      </c>
      <c r="C24" s="89"/>
      <c r="D24" s="89"/>
      <c r="E24" s="89"/>
      <c r="F24" s="89"/>
      <c r="G24" s="89"/>
      <c r="H24" s="89"/>
      <c r="I24" s="89"/>
      <c r="J24" s="89"/>
      <c r="K24" s="89"/>
      <c r="M24" s="89"/>
      <c r="N24" s="89"/>
      <c r="O24" s="89"/>
      <c r="P24" s="89"/>
      <c r="Q24" s="89"/>
      <c r="R24" s="89"/>
      <c r="S24" s="89"/>
      <c r="T24" s="89"/>
      <c r="U24" s="89"/>
    </row>
    <row r="25" spans="1:21" ht="20.100000000000001" customHeight="1" x14ac:dyDescent="0.25">
      <c r="A25" s="5" t="str">
        <f>HYPERLINK("#'Input - Manure sent off-site'!A1", "Manure sent off-site")</f>
        <v>Manure sent off-site</v>
      </c>
      <c r="D25" s="2" t="str" cm="1">
        <f t="array" ref="D25">AgResidue_Equations_PastureResidue.VEERG_6_2_1_1__1__NitrousOxideEmissionsFromPastureResidues_Title()</f>
        <v>Nitrous oxide emissions from the return of pasture residues from all pasture types to the soil</v>
      </c>
      <c r="N25" s="2"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A26" s="5" t="str">
        <f>HYPERLINK("#'Input - Data quality'!A1", "Data quality")</f>
        <v>Data quality</v>
      </c>
      <c r="D26" s="17" t="str" cm="1">
        <f t="array" ref="D26">AgResidue_Equations_PastureResidue.VEERG_6_2_1_1__1__NitrousOxideEmissionsFromPastureResidues_Source()</f>
        <v>VEERG 2026: 6.2.1.1, Equation (1)</v>
      </c>
      <c r="N26" s="17" t="str" cm="1">
        <f t="array" ref="N26">AgResidue_Equations_PastureResidue.VEERG_6_2_1_1__1__NitrousOxideEmissionsFromPastureResidues_Source()</f>
        <v>VEERG 2026: 6.2.1.1, Equation (1)</v>
      </c>
    </row>
    <row r="27" spans="1:21" ht="20.100000000000001" customHeight="1" x14ac:dyDescent="0.25">
      <c r="D27" s="117" t="s">
        <v>343</v>
      </c>
      <c r="E27" s="117" t="str">
        <f ca="1">Common_InputFunctions.Utility_DisplayFunctionName(VEERG_6_2_1_1__1__NitrousOxideEmissionsFromPastureResidues_Result_Method1)</f>
        <v>=AgResidue_Equations_PastureResidue.VEERG_6_2_1_1__1__NitrousOxideEmissionsFromPastureResidues</v>
      </c>
      <c r="N27" s="117" t="s">
        <v>343</v>
      </c>
      <c r="O27" s="117"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c r="A29" s="6" t="s">
        <v>2</v>
      </c>
    </row>
    <row r="30" spans="1:21" ht="20.100000000000001" customHeight="1" x14ac:dyDescent="0.25">
      <c r="A30" s="5" t="str">
        <f>HYPERLINK("#'3.3.1.1-2 Enteric Methane'!A1", "3.3.1.1-2 Enteric methane")</f>
        <v>3.3.1.1-2 Enteric methane</v>
      </c>
      <c r="D30" s="24" t="s">
        <v>344</v>
      </c>
      <c r="E30" s="1" t="str" cm="1">
        <f t="array" ref="E30">AgResidue_Equations_PastureResidue.VEERG_6_2_1_1__1__NitrousOxideEmissionsFromPastureResidues_Variable()</f>
        <v>EN2O</v>
      </c>
      <c r="N30" s="24" t="s">
        <v>344</v>
      </c>
      <c r="O30" s="1" t="str" cm="1">
        <f t="array" ref="O30">AgResidue_Equations_PastureResidue.VEERG_6_2_1_1__1__NitrousOxideEmissionsFromPastureResidues_Variable()</f>
        <v>EN2O</v>
      </c>
    </row>
    <row r="31" spans="1:21" ht="20.100000000000001" customHeight="1" x14ac:dyDescent="0.25">
      <c r="A31" s="5" t="str">
        <f>HYPERLINK("#'4.3.1.1-2 Methane'!A1", "4.3.1.1-2 Manure methane")</f>
        <v>4.3.1.1-2 Manure methane</v>
      </c>
      <c r="D31" s="24" t="s">
        <v>118</v>
      </c>
      <c r="E31" s="9" t="str" cm="1">
        <f t="array" ref="E31">AgResidue_Equations_PastureResidue.VEERG_6_2_1_1__1__NitrousOxideEmissionsFromPastureResidues_Unit()</f>
        <v>t N2O</v>
      </c>
      <c r="N31" s="24" t="s">
        <v>118</v>
      </c>
      <c r="O31" s="9" t="str" cm="1">
        <f t="array" ref="O31">AgResidue_Equations_PastureResidue.VEERG_6_2_1_1__1__NitrousOxideEmissionsFromPastureResidues_Unit()</f>
        <v>t N2O</v>
      </c>
    </row>
    <row r="32" spans="1:21" ht="20.100000000000001" customHeight="1" x14ac:dyDescent="0.25">
      <c r="A32" s="5" t="str">
        <f>HYPERLINK("#'4.3.1.3-4 Direct N20'!A1", "4.3.1.3-4 Direct N20")</f>
        <v>4.3.1.3-4 Direct N20</v>
      </c>
    </row>
    <row r="33" spans="1:20" ht="20.100000000000001" customHeight="1" x14ac:dyDescent="0.25">
      <c r="A33" s="5" t="str">
        <f>HYPERLINK("#'4.3.1.5 Atmos deposition'!A1", "4.3.1.5 Atmos deposition")</f>
        <v>4.3.1.5 Atmos deposition</v>
      </c>
      <c r="D33" s="119" t="str" cm="1">
        <f t="array" ref="D33:E37">_xlfn.CHOOSECOLS(AgResidue_Equations_PastureResidue.VEERG_6_2_1_1__1__NitrousOxideEmissionsFromPastureResidues_Arguments(), 1, 2)</f>
        <v>M_p</v>
      </c>
      <c r="E33" s="124" t="str">
        <v>mass of nitrogen in pasture p residues returned to the soil</v>
      </c>
      <c r="F33" s="132"/>
      <c r="G33" s="125"/>
      <c r="H33" s="119" t="str" cm="1">
        <f t="array" ref="H33:I37">_xlfn.CHOOSECOLS(AgResidue_Equations_PastureResidue.VEERG_6_2_1_1__1__NitrousOxideEmissionsFromPastureResidues_Arguments(), 3,4)</f>
        <v>kg N</v>
      </c>
      <c r="I33" s="127" t="str">
        <v>Calculated from 6.2.1.1 (2)</v>
      </c>
      <c r="J33" s="119">
        <f>$E$21</f>
        <v>7.4226E-2</v>
      </c>
      <c r="N33" s="119" t="str" cm="1">
        <f t="array" ref="N33:O37">_xlfn.CHOOSECOLS(AgResidue_Equations_PastureResidue.VEERG_6_2_1_1__1__NitrousOxideEmissionsFromPastureResidues_Arguments(), 1, 2)</f>
        <v>M_p</v>
      </c>
      <c r="O33" s="124" t="str">
        <v>mass of nitrogen in pasture p residues returned to the soil</v>
      </c>
      <c r="P33" s="132"/>
      <c r="Q33" s="125"/>
      <c r="R33" s="119" t="str" cm="1">
        <f t="array" ref="R33:S37">_xlfn.CHOOSECOLS(AgResidue_Equations_PastureResidue.VEERG_6_2_1_1__1__NitrousOxideEmissionsFromPastureResidues_Arguments(), 3,4)</f>
        <v>kg N</v>
      </c>
      <c r="S33" s="127" t="str">
        <v>Calculated from 6.2.1.1 (2)</v>
      </c>
      <c r="T33" s="119">
        <f>$O$21</f>
        <v>7.4226E-2</v>
      </c>
    </row>
    <row r="34" spans="1:20" ht="20.100000000000001" customHeight="1" x14ac:dyDescent="0.25">
      <c r="A34" s="5" t="str">
        <f>HYPERLINK("#'4.3.1.6-7 Leaching and runoff'!A1", "4.3.1.6-7 Leaching &amp; runoff")</f>
        <v>4.3.1.6-7 Leaching &amp; runoff</v>
      </c>
      <c r="D34" s="119" t="str">
        <v>EF_Ni</v>
      </c>
      <c r="E34" s="124" t="str">
        <v>emission factor for crop residues returned to the soil in climate zone i</v>
      </c>
      <c r="F34" s="132"/>
      <c r="G34" s="125"/>
      <c r="H34" s="119" t="str">
        <v>kg N2O-N/kg N</v>
      </c>
      <c r="I34" s="127" t="str">
        <v>Constant</v>
      </c>
      <c r="J34" s="119" cm="1">
        <f t="array" ref="J34">Common_InputFunctions.Utility_LookupValueInTableNumber(J37,Table_SourceData_N2OEFOrganicFert[Climate zone type i],Table_SourceData_N2OEFOrganicFert[EF i N2O])</f>
        <v>0</v>
      </c>
      <c r="N34" s="119" t="str">
        <v>EF_Ni</v>
      </c>
      <c r="O34" s="124" t="str">
        <v>emission factor for crop residues returned to the soil in climate zone i</v>
      </c>
      <c r="P34" s="132"/>
      <c r="Q34" s="125"/>
      <c r="R34" s="119" t="str">
        <v>kg N2O-N/kg N</v>
      </c>
      <c r="S34" s="127" t="str">
        <v>Constant</v>
      </c>
      <c r="T34" s="119"/>
    </row>
    <row r="35" spans="1:20" ht="20.100000000000001" customHeight="1" x14ac:dyDescent="0.25">
      <c r="A35" s="5" t="str">
        <f>HYPERLINK("#'4.3.1.8 Manure applied to soils'!A1", "4.3.1.8 Manure applied to soils")</f>
        <v>4.3.1.8 Manure applied to soils</v>
      </c>
      <c r="D35" s="119" t="str">
        <v>C_N2O</v>
      </c>
      <c r="E35" s="124" t="str">
        <v>factor to convert elemental mass of nitrous oxide to molecular mass</v>
      </c>
      <c r="F35" s="132"/>
      <c r="G35" s="125"/>
      <c r="H35" s="119" t="str">
        <v>dimensionless</v>
      </c>
      <c r="I35" s="127" t="str">
        <v>Constant</v>
      </c>
      <c r="J35" s="119">
        <f>Common_InputFunctions.Utility_LookupValueInTableNumber("N2O",Table_GasToMolecularConversionFactor[Gas],Table_GasToMolecularConversionFactor[Conversion factor combined])</f>
        <v>1.5714285714285714</v>
      </c>
      <c r="N35" s="119" t="str">
        <v>C_N2O</v>
      </c>
      <c r="O35" s="124" t="str">
        <v>factor to convert elemental mass of nitrous oxide to molecular mass</v>
      </c>
      <c r="P35" s="132"/>
      <c r="Q35" s="125"/>
      <c r="R35" s="119" t="str">
        <v>dimensionless</v>
      </c>
      <c r="S35" s="127" t="str">
        <v>Constant</v>
      </c>
      <c r="T35" s="119"/>
    </row>
    <row r="36" spans="1:20" ht="20.100000000000001" customHeight="1" x14ac:dyDescent="0.25">
      <c r="A36" s="5" t="str">
        <f>HYPERLINK("#'4.3.1.9 Soil direct N2O'!A1", "4.3.1.9 Soil direct N2O")</f>
        <v>4.3.1.9 Soil direct N2O</v>
      </c>
      <c r="D36" s="119" t="str">
        <v>p</v>
      </c>
      <c r="E36" s="124" t="str">
        <v>Pasture type</v>
      </c>
      <c r="F36" s="132"/>
      <c r="G36" s="125"/>
      <c r="H36" s="119" t="str">
        <v/>
      </c>
      <c r="I36" s="120" t="str">
        <v>Input</v>
      </c>
      <c r="J36" s="119" t="str">
        <f>X_Cell_Pasture_PastureType</f>
        <v>Grass clover mixture</v>
      </c>
      <c r="N36" s="119" t="str">
        <v>p</v>
      </c>
      <c r="O36" s="124" t="str">
        <v>Pasture type</v>
      </c>
      <c r="P36" s="132"/>
      <c r="Q36" s="125"/>
      <c r="R36" s="119" t="str">
        <v/>
      </c>
      <c r="S36" s="120" t="str">
        <v>Input</v>
      </c>
      <c r="T36" s="119"/>
    </row>
    <row r="37" spans="1:20" ht="20.100000000000001" customHeight="1" x14ac:dyDescent="0.25">
      <c r="A37" s="5" t="str">
        <f>HYPERLINK("#'4.3.1.10-11 Soil Atmos Dep'!A1", "4.3.1.10-11 Soil Atmos Deposition")</f>
        <v>4.3.1.10-11 Soil Atmos Deposition</v>
      </c>
      <c r="D37" s="119" t="str">
        <v>i</v>
      </c>
      <c r="E37" s="124" t="str">
        <v>Wet or dry climate zone</v>
      </c>
      <c r="F37" s="132"/>
      <c r="G37" s="125"/>
      <c r="H37" s="119" t="str">
        <v/>
      </c>
      <c r="I37" s="120" t="str">
        <v>Input</v>
      </c>
      <c r="J37" s="119">
        <f>X_Cell_Site_WetOrDryClimateZone</f>
        <v>0</v>
      </c>
      <c r="N37" s="119" t="str">
        <v>i</v>
      </c>
      <c r="O37" s="124" t="str">
        <v>Wet or dry climate zone</v>
      </c>
      <c r="P37" s="132"/>
      <c r="Q37" s="125"/>
      <c r="R37" s="119" t="str">
        <v/>
      </c>
      <c r="S37" s="120" t="str">
        <v>Input</v>
      </c>
      <c r="T37" s="119"/>
    </row>
    <row r="38" spans="1:20" ht="20.100000000000001" customHeight="1" x14ac:dyDescent="0.25">
      <c r="A38" s="5" t="str">
        <f>HYPERLINK("#'4.3.1.12-13 Soil leach runoff'!A1", "4.3.1.12-13 Soil leach &amp; runoff")</f>
        <v>4.3.1.12-13 Soil leach &amp; runoff</v>
      </c>
    </row>
    <row r="39" spans="1:20" ht="20.100000000000001" customHeight="1" x14ac:dyDescent="0.25">
      <c r="A39" s="5" t="str">
        <f>HYPERLINK("#'5.1.1.1-2 Inorganic fert N2O'!A1", "5.1.1.1-2 Inorganic fert N2O")</f>
        <v>5.1.1.1-2 Inorganic fert N2O</v>
      </c>
    </row>
    <row r="40" spans="1:20" ht="20.100000000000001" customHeight="1" x14ac:dyDescent="0.25">
      <c r="A40" s="5" t="str">
        <f>HYPERLINK("#'5.1.1.3-4 Inorganic fert CO2'!A1", "5.1.1.3-4 Inorganic fert CO2")</f>
        <v>5.1.1.3-4 Inorganic fert CO2</v>
      </c>
      <c r="D40" s="88" t="s">
        <v>727</v>
      </c>
      <c r="E40" s="91" cm="1">
        <f t="array" ref="E40">AgResidue_Equations_PastureResidue.VEERG_6_2_1_1__1__NitrousOxideEmissionsFromPastureResidues(J33,J34,J35)</f>
        <v>0</v>
      </c>
      <c r="F40" s="90" t="str" cm="1">
        <f t="array" ref="F40">AgResidue_Equations_PastureResidue.VEERG_6_2_1_1__1__NitrousOxideEmissionsFromPastureResidues_Unit()</f>
        <v>t N2O</v>
      </c>
      <c r="N40" s="88" t="s">
        <v>727</v>
      </c>
      <c r="O40" s="91" cm="1">
        <f t="array" ref="O40">AgResidue_Equations_PastureResidue.VEERG_6_2_1_1__1__NitrousOxideEmissionsFromPastureResidues(T33,J34,J35)</f>
        <v>0</v>
      </c>
      <c r="P40" s="90" t="str" cm="1">
        <f t="array" ref="P40">AgResidue_Equations_PastureResidue.VEERG_6_2_1_1__1__NitrousOxideEmissionsFromPastureResidues_Unit()</f>
        <v>t N2O</v>
      </c>
    </row>
    <row r="41" spans="1:20" ht="20.100000000000001" customHeight="1" x14ac:dyDescent="0.25">
      <c r="A41" s="5" t="str">
        <f>HYPERLINK("#'5.2.1.1-2 Organic Fert N2O'!A1", "5.2.1.1-2 Organic fert N2O")</f>
        <v>5.2.1.1-2 Organic fert N2O</v>
      </c>
    </row>
    <row r="42" spans="1:20" ht="20.100000000000001" customHeight="1" x14ac:dyDescent="0.25">
      <c r="A42" s="5" t="str">
        <f>HYPERLINK("#'5.3.1.1-2 Lime CO2'!A1", "5.3.1.1-2 Lime CO2")</f>
        <v>5.3.1.1-2 Lime CO2</v>
      </c>
      <c r="D42" s="131" t="str" cm="1">
        <f t="array" ref="D42:E43">Common_Equations.Common_ConvertN2OToCO2e_Arguments()</f>
        <v>EN2O</v>
      </c>
      <c r="E42" s="134" t="str">
        <v>Nitrous oxide emissions (t N2O)</v>
      </c>
      <c r="F42" s="137"/>
      <c r="G42" s="131">
        <f>VEERG_6_2_1_1__1__NitrousOxideEmissionsFromPastureResidues_Result_Method1</f>
        <v>0</v>
      </c>
      <c r="N42" s="131" t="str" cm="1">
        <f t="array" ref="N42:O43">Common_Equations.Common_ConvertN2OToCO2e_Arguments()</f>
        <v>EN2O</v>
      </c>
      <c r="O42" s="134" t="str">
        <v>Nitrous oxide emissions (t N2O)</v>
      </c>
      <c r="P42" s="137"/>
      <c r="Q42" s="131">
        <f>VEERG_6_2_1_1__1__NitrousOxideEmissionsFromPastureResidues_Result_Method2</f>
        <v>0</v>
      </c>
    </row>
    <row r="43" spans="1:20" ht="20.100000000000001" customHeight="1" x14ac:dyDescent="0.25">
      <c r="A43" s="5" t="str">
        <f>HYPERLINK("#'5.4.1.1-4 Atmos deposition'!A1", "5.4.1.1-4 Atmos. deposition")</f>
        <v>5.4.1.1-4 Atmos. deposition</v>
      </c>
      <c r="D43" s="131" t="str">
        <v>GWPN2O</v>
      </c>
      <c r="E43" s="134" t="str">
        <v>Global warming potential for nitrous oxide (t CO2-e / t N2O)</v>
      </c>
      <c r="F43" s="137"/>
      <c r="G43" s="15">
        <f>Common_InputFunctions.Utility_LookupValueInTableNumber("N2O",Table_GWPData[Gas],Table_GWPData[CO2-e factor])</f>
        <v>265</v>
      </c>
      <c r="N43" s="131" t="str">
        <v>GWPN2O</v>
      </c>
      <c r="O43" s="134" t="str">
        <v>Global warming potential for nitrous oxide (t CO2-e / t N2O)</v>
      </c>
      <c r="P43" s="137"/>
      <c r="Q43" s="15">
        <f>Common_InputFunctions.Utility_LookupValueInTableNumber("N2O",Table_GWPData[Gas],Table_GWPData[CO2-e factor])</f>
        <v>265</v>
      </c>
    </row>
    <row r="44" spans="1:20" ht="20.100000000000001" customHeight="1" x14ac:dyDescent="0.25">
      <c r="A44" s="5" t="str">
        <f>HYPERLINK("#'5.5.1.1-2 Leaching and runoff'!A1", "5.5.1.1-2 Leaching &amp; runoff")</f>
        <v>5.5.1.1-2 Leaching &amp; runoff</v>
      </c>
    </row>
    <row r="45" spans="1:20" ht="20.100000000000001" customHeight="1" x14ac:dyDescent="0.25">
      <c r="A45" s="118" t="str">
        <f>HYPERLINK("#'6.2.1.1-2 Pasture residue N2O'!A1", "6.2.1.1-2 Pasture residue N2O")</f>
        <v>6.2.1.1-2 Pasture residue N2O</v>
      </c>
      <c r="D45" s="1" t="s">
        <v>1049</v>
      </c>
      <c r="E45" s="1" cm="1">
        <f t="array" ref="E45">Common_Equations.Common_ConvertN2OToCO2e(G42,G43)</f>
        <v>0</v>
      </c>
      <c r="F45" s="9" t="str" cm="1">
        <f t="array" ref="F45">Common_Equations.Common_ConvertN2OToCO2e_Unit()</f>
        <v>t CO2e</v>
      </c>
      <c r="N45" s="1" t="s">
        <v>1049</v>
      </c>
      <c r="O45" s="1" cm="1">
        <f t="array" ref="O45">Common_Equations.Common_ConvertN2OToCO2e(Q42,Q43)</f>
        <v>0</v>
      </c>
      <c r="P45" s="9" t="str" cm="1">
        <f t="array" ref="P45">Common_Equations.Common_ConvertN2OToCO2e_Unit()</f>
        <v>t CO2e</v>
      </c>
    </row>
    <row r="46" spans="1:20" ht="20.100000000000001" customHeight="1" x14ac:dyDescent="0.25">
      <c r="A46" s="5" t="str">
        <f>HYPERLINK("#'6.3.1.1-2 Leach runoff pasture'!A1", "6.3.1.1-2 Leach &amp; runoff (pasture)")</f>
        <v>6.3.1.1-2 Leach &amp; runoff (pasture)</v>
      </c>
    </row>
    <row r="47" spans="1:20" ht="20.100000000000001" customHeight="1" x14ac:dyDescent="0.25">
      <c r="A47" s="5" t="str">
        <f>HYPERLINK("#'8.1.1.1-2 Transport fuel'!A1", "8.1.1.1-2 Transport fuel")</f>
        <v>8.1.1.1-2 Transport fuel</v>
      </c>
    </row>
    <row r="48" spans="1:20"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4ECD-5D5B-430E-A8C9-614828DCED32}">
  <sheetPr>
    <tabColor rgb="FF008000"/>
  </sheetPr>
  <dimension ref="A1:T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1050</v>
      </c>
    </row>
    <row r="2" spans="1:20" s="3" customFormat="1" ht="20.100000000000001" customHeight="1" x14ac:dyDescent="0.25">
      <c r="A2"/>
    </row>
    <row r="3" spans="1:20"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row>
    <row r="4" spans="1:20" ht="20.100000000000001" customHeight="1" x14ac:dyDescent="0.25">
      <c r="A4" s="5" t="str">
        <f>HYPERLINK("#'Results - Activity period'!A1", "Results - Activity period")</f>
        <v>Results - Activity period</v>
      </c>
    </row>
    <row r="5" spans="1:20" ht="20.100000000000001" customHeight="1" x14ac:dyDescent="0.25">
      <c r="A5" s="5" t="str">
        <f>HYPERLINK("#'Results - Product EI'!A1", "Results - Product Emissions Intensity")</f>
        <v>Results - Product Emissions Intensity</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A6" s="5" t="str">
        <f>HYPERLINK("#'Results'!A1", "Results")</f>
        <v>Results</v>
      </c>
      <c r="C6" s="8"/>
      <c r="D6" s="1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17" t="s">
        <v>343</v>
      </c>
      <c r="E7" s="117" t="str" cm="1">
        <f t="array" aca="1" ref="E7" ca="1">Common_InputFunctions.Utility_DisplayFunctionName(I25)</f>
        <v>=AgResidue_Equations_Leaching.VEERG_6_3_1_1__2__MassOfNitrogenLostThroughLeachingAndRunoff</v>
      </c>
      <c r="F7" s="117"/>
      <c r="G7" s="8"/>
      <c r="H7" s="8"/>
      <c r="I7" s="8"/>
      <c r="J7" s="8"/>
      <c r="K7" s="8"/>
    </row>
    <row r="8" spans="1:20" ht="20.100000000000001" customHeight="1" x14ac:dyDescent="0.25">
      <c r="C8" s="8"/>
      <c r="F8" s="8"/>
      <c r="G8" s="8"/>
      <c r="H8" s="8"/>
      <c r="I8" s="8"/>
      <c r="J8" s="8"/>
      <c r="K8" s="8"/>
    </row>
    <row r="9" spans="1:20" ht="20.100000000000001" customHeight="1" x14ac:dyDescent="0.25">
      <c r="A9" s="7" t="s">
        <v>0</v>
      </c>
      <c r="C9" s="8"/>
      <c r="D9" s="8"/>
      <c r="E9" s="8"/>
      <c r="F9" s="8"/>
      <c r="G9" s="8"/>
      <c r="H9" s="8"/>
      <c r="I9" s="8"/>
      <c r="J9" s="8"/>
      <c r="K9" s="8"/>
    </row>
    <row r="10" spans="1:20" ht="20.100000000000001" customHeight="1" x14ac:dyDescent="0.25">
      <c r="A10" s="5" t="str">
        <f>HYPERLINK("#'Input - Enterprise'!A1", "Enterprise")</f>
        <v>Enterprise</v>
      </c>
      <c r="C10" s="8"/>
      <c r="D10" s="248" t="s">
        <v>344</v>
      </c>
      <c r="E10" s="8" t="str" cm="1">
        <f t="array" ref="E10">AgResidue_Equations_Leaching.VEERG_6_3_1_1__2__MassOfNitrogenLostThroughLeachingAndRunoff_Variable()</f>
        <v>M_leachcp</v>
      </c>
      <c r="F10" s="8"/>
      <c r="G10" s="17"/>
      <c r="H10" s="8"/>
      <c r="I10" s="8"/>
      <c r="J10" s="8"/>
      <c r="K10" s="8"/>
    </row>
    <row r="11" spans="1:20" ht="20.100000000000001" customHeight="1" x14ac:dyDescent="0.25">
      <c r="A11" s="5" t="str">
        <f>HYPERLINK("#'Input - Site'!A1", "Site")</f>
        <v>Site</v>
      </c>
      <c r="C11" s="8"/>
      <c r="D11" s="248" t="s">
        <v>118</v>
      </c>
      <c r="E11" s="9"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Dairy'!A1", "Dairy")</f>
        <v>Dairy</v>
      </c>
      <c r="C12" s="8"/>
      <c r="D12" s="8"/>
      <c r="E12" s="8"/>
      <c r="F12" s="8"/>
      <c r="G12" s="8"/>
      <c r="H12" s="8"/>
      <c r="I12" s="8"/>
      <c r="J12" s="8"/>
      <c r="K12" s="8"/>
    </row>
    <row r="13" spans="1:20" ht="20.100000000000001" customHeight="1" x14ac:dyDescent="0.25">
      <c r="A13" s="5" t="str">
        <f>HYPERLINK("#'Input - Livestock sales'!A1", "Livestock sales")</f>
        <v>Livestock sales</v>
      </c>
      <c r="C13" s="8"/>
      <c r="D13" s="119" t="str" cm="1">
        <f t="array" ref="D13:E19">_xlfn.CHOOSECOLS(AgResidue_Equations_Leaching.VEERG_6_3_1_1__2__MassOfNitrogenLostThroughLeachingAndRunoff_Arguments(), 1,2)</f>
        <v>M_cp</v>
      </c>
      <c r="E13" s="124" t="str">
        <v>mass of nitrogen in crop residues c or pasture residues p applied to soils</v>
      </c>
      <c r="F13" s="132"/>
      <c r="G13" s="125"/>
      <c r="H13" s="119" t="str" cm="1">
        <f t="array" ref="H13:I19">_xlfn.CHOOSECOLS(AgResidue_Equations_Leaching.VEERG_6_3_1_1__2__MassOfNitrogenLostThroughLeachingAndRunoff_Arguments(), 3,4)</f>
        <v>kg N</v>
      </c>
      <c r="I13" s="127" t="str">
        <v>Calc from 6.1.1.1 (2) and 6.2.1.1 (2)</v>
      </c>
      <c r="J13" s="126" t="str" cm="1">
        <f t="array" aca="1" ref="J13" ca="1">HYPERLINK(Common_InputFunctions.Utility_SourceHyperlink($D$21), $D$21)</f>
        <v>M1_Table_M_leach_cp</v>
      </c>
      <c r="K13" s="8"/>
    </row>
    <row r="14" spans="1:20" ht="20.100000000000001" customHeight="1" x14ac:dyDescent="0.25">
      <c r="A14" s="5" t="str">
        <f>HYPERLINK("#'Input - Dairy cattle purchases'!A1", "Dairy cattle purchases")</f>
        <v>Dairy cattle purchases</v>
      </c>
      <c r="C14" s="8"/>
      <c r="D14" s="119" t="str">
        <v>FracWET_j</v>
      </c>
      <c r="E14" s="124" t="str">
        <v>fraction of N that is available for leaching and runoff from the leaching zone z and irrigation type ir</v>
      </c>
      <c r="F14" s="132"/>
      <c r="G14" s="125"/>
      <c r="H14" s="119" t="str">
        <v>fraction</v>
      </c>
      <c r="I14" s="127" t="str">
        <v>Constant</v>
      </c>
      <c r="J14" s="126" t="str" cm="1">
        <f t="array" aca="1" ref="J14" ca="1">HYPERLINK(Common_InputFunctions.Utility_SourceHyperlink($D$21), $D$21)</f>
        <v>M1_Table_M_leach_cp</v>
      </c>
      <c r="K14" s="8"/>
    </row>
    <row r="15" spans="1:20" ht="20.100000000000001" customHeight="1" x14ac:dyDescent="0.25">
      <c r="A15" s="5" t="str">
        <f>HYPERLINK("#'Input - Pasture'!A1", "Pasture")</f>
        <v>Pasture</v>
      </c>
      <c r="C15" s="8"/>
      <c r="D15" s="119" t="str">
        <v>FracLEACH</v>
      </c>
      <c r="E15" s="124" t="str">
        <v>fraction of N that is lost through leaching and runoff</v>
      </c>
      <c r="F15" s="132"/>
      <c r="G15" s="125"/>
      <c r="H15" s="119" t="str">
        <v>fraction</v>
      </c>
      <c r="I15" s="127" t="str">
        <v>Constant</v>
      </c>
      <c r="J15" s="119">
        <f>'Constants - Common'!$E$164</f>
        <v>0.24</v>
      </c>
      <c r="K15" s="8"/>
    </row>
    <row r="16" spans="1:20" ht="20.100000000000001" customHeight="1" x14ac:dyDescent="0.25">
      <c r="A16" s="5" t="str">
        <f>HYPERLINK("#'Input - Fert Prod System'!A1", "Fert Prod System")</f>
        <v>Fert Prod System</v>
      </c>
      <c r="C16" s="8"/>
      <c r="D16" s="119" t="str">
        <v>z</v>
      </c>
      <c r="E16" s="124" t="str">
        <v>Location in leaching zone</v>
      </c>
      <c r="F16" s="132"/>
      <c r="G16" s="125"/>
      <c r="H16" s="119" t="str">
        <v/>
      </c>
      <c r="I16" s="120" t="str">
        <v>Input</v>
      </c>
      <c r="J16" s="126" t="str" cm="1">
        <f t="array" aca="1" ref="J16" ca="1">HYPERLINK(Common_InputFunctions.Utility_SourceHyperlink($D$21), $D$21)</f>
        <v>M1_Table_M_leach_cp</v>
      </c>
      <c r="K16" s="8"/>
    </row>
    <row r="17" spans="1:20" ht="20.100000000000001" customHeight="1" x14ac:dyDescent="0.25">
      <c r="A17" s="5" t="str">
        <f>HYPERLINK("#'Input - Fertiliser'!A1", "Fertiliser")</f>
        <v>Fertiliser</v>
      </c>
      <c r="C17" s="8"/>
      <c r="D17" s="119" t="str">
        <v>c</v>
      </c>
      <c r="E17" s="124" t="str">
        <v>Crop residue type</v>
      </c>
      <c r="F17" s="132"/>
      <c r="G17" s="125"/>
      <c r="H17" s="119" t="str">
        <v/>
      </c>
      <c r="I17" s="120" t="str">
        <v>Input</v>
      </c>
      <c r="J17" s="119" t="s">
        <v>285</v>
      </c>
      <c r="K17" s="8"/>
    </row>
    <row r="18" spans="1:20" ht="20.100000000000001" customHeight="1" x14ac:dyDescent="0.25">
      <c r="A18" s="5" t="str">
        <f>HYPERLINK("#'Input - Fuel'!A1", "Fuel")</f>
        <v>Fuel</v>
      </c>
      <c r="C18" s="8"/>
      <c r="D18" s="119" t="str">
        <v>p</v>
      </c>
      <c r="E18" s="124" t="str">
        <v>Pasture residue type</v>
      </c>
      <c r="F18" s="132"/>
      <c r="G18" s="125"/>
      <c r="H18" s="119" t="str">
        <v/>
      </c>
      <c r="I18" s="120" t="str">
        <v>Input</v>
      </c>
      <c r="J18" s="119" t="str">
        <f>X_Cell_Pasture_PastureType</f>
        <v>Grass clover mixture</v>
      </c>
      <c r="K18" s="8"/>
    </row>
    <row r="19" spans="1:20" ht="20.100000000000001" customHeight="1" x14ac:dyDescent="0.25">
      <c r="A19" s="5" t="str">
        <f>HYPERLINK("#'Input - Electricity'!A1", "Electricity")</f>
        <v>Electricity</v>
      </c>
      <c r="C19" s="8"/>
      <c r="D19" s="119" t="str">
        <v>ir</v>
      </c>
      <c r="E19" s="124" t="str">
        <v>Irrigation type</v>
      </c>
      <c r="F19" s="132"/>
      <c r="G19" s="125"/>
      <c r="H19" s="119" t="str">
        <v/>
      </c>
      <c r="I19" s="120" t="str">
        <v>Input</v>
      </c>
      <c r="J19" s="126" t="str" cm="1">
        <f t="array" aca="1" ref="J19" ca="1">HYPERLINK(Common_InputFunctions.Utility_SourceHyperlink($D$21), $D$21)</f>
        <v>M1_Table_M_leach_cp</v>
      </c>
      <c r="K19" s="8"/>
    </row>
    <row r="20" spans="1:20" ht="20.100000000000001" customHeight="1" x14ac:dyDescent="0.25">
      <c r="A20" s="5" t="str">
        <f>HYPERLINK("#'Input - Common farm inputs'!A1", "Common farm inputs")</f>
        <v>Common farm inputs</v>
      </c>
      <c r="C20" s="8"/>
      <c r="D20" s="8"/>
      <c r="E20" s="8"/>
      <c r="F20" s="8"/>
      <c r="G20" s="8"/>
      <c r="H20" s="8"/>
      <c r="I20" s="8"/>
      <c r="J20" s="8"/>
      <c r="K20" s="8"/>
    </row>
    <row r="21" spans="1:20" ht="20.100000000000001" customHeight="1" x14ac:dyDescent="0.25">
      <c r="A21" s="5" t="str">
        <f>HYPERLINK("#'Input - Crop pasture farm input'!A1", "Crop pasture farm input")</f>
        <v>Crop pasture farm input</v>
      </c>
      <c r="C21" s="8"/>
      <c r="D21" s="121" t="s">
        <v>1051</v>
      </c>
      <c r="E21" s="8"/>
      <c r="F21" s="8"/>
      <c r="G21" s="8"/>
      <c r="H21" s="8"/>
      <c r="I21" s="8"/>
      <c r="J21" s="8"/>
      <c r="K21" s="8"/>
      <c r="N21" s="121" t="s">
        <v>1052</v>
      </c>
      <c r="O21" s="8"/>
      <c r="P21" s="8"/>
      <c r="Q21" s="8"/>
      <c r="R21" s="8"/>
      <c r="S21" s="8"/>
    </row>
    <row r="22" spans="1:20" ht="20.100000000000001" customHeight="1" x14ac:dyDescent="0.25">
      <c r="A22" s="5" t="str">
        <f>HYPERLINK("#'Input - Livestock farm Inputs'!A1", "Livestock farm Inputs")</f>
        <v>Livestock farm Inputs</v>
      </c>
      <c r="C22" s="8"/>
      <c r="D22" s="122" t="s">
        <v>1053</v>
      </c>
      <c r="E22" s="8"/>
      <c r="F22" s="8"/>
      <c r="G22" s="8"/>
      <c r="H22" s="8"/>
      <c r="I22" s="8"/>
      <c r="J22" s="8"/>
      <c r="K22" s="8"/>
      <c r="N22" s="122" t="s">
        <v>1054</v>
      </c>
      <c r="O22" s="8"/>
      <c r="P22" s="8"/>
      <c r="Q22" s="8"/>
      <c r="R22" s="8"/>
      <c r="S22" s="8"/>
    </row>
    <row r="23" spans="1:20" ht="20.100000000000001" customHeight="1" x14ac:dyDescent="0.25">
      <c r="A23" s="5" t="str">
        <f>HYPERLINK("#'Input - Freight'!A1", "Freight")</f>
        <v>Freight</v>
      </c>
      <c r="C23" s="8"/>
      <c r="D23" s="81" t="s">
        <v>1055</v>
      </c>
      <c r="E23" s="123" t="s">
        <v>1056</v>
      </c>
      <c r="F23" s="81" t="s">
        <v>1057</v>
      </c>
      <c r="G23" s="81" t="s">
        <v>103</v>
      </c>
      <c r="H23" s="123" t="s">
        <v>1058</v>
      </c>
      <c r="I23" s="123" t="s">
        <v>1059</v>
      </c>
      <c r="J23" s="8"/>
      <c r="K23" s="8"/>
      <c r="N23" s="81" t="s">
        <v>1055</v>
      </c>
      <c r="O23" s="123" t="s">
        <v>1056</v>
      </c>
      <c r="P23" s="81" t="s">
        <v>1057</v>
      </c>
      <c r="Q23" s="81" t="s">
        <v>103</v>
      </c>
      <c r="R23" s="123" t="s">
        <v>1058</v>
      </c>
      <c r="S23" s="123" t="s">
        <v>1059</v>
      </c>
    </row>
    <row r="24" spans="1:20" ht="20.100000000000001" customHeight="1" x14ac:dyDescent="0.25">
      <c r="A24" s="5" t="str">
        <f>HYPERLINK("#'Input - Solid waste'!A1", "Solid waste")</f>
        <v>Solid waste</v>
      </c>
      <c r="D24" s="15" t="s">
        <v>800</v>
      </c>
      <c r="E24" s="15" t="s">
        <v>285</v>
      </c>
      <c r="F24" s="15" t="s">
        <v>285</v>
      </c>
      <c r="G24" s="15" t="s">
        <v>285</v>
      </c>
      <c r="H24" s="15" t="s">
        <v>285</v>
      </c>
      <c r="I24" s="15" t="s">
        <v>285</v>
      </c>
      <c r="N24" s="15"/>
      <c r="O24" s="15" t="s">
        <v>285</v>
      </c>
      <c r="P24" s="15"/>
      <c r="Q24" s="15"/>
      <c r="R24" s="15"/>
      <c r="S24" s="15" t="s">
        <v>285</v>
      </c>
    </row>
    <row r="25" spans="1:20" ht="20.100000000000001" customHeight="1" x14ac:dyDescent="0.25">
      <c r="A25" s="5" t="str">
        <f>HYPERLINK("#'Input - Manure sent off-site'!A1", "Manure sent off-site")</f>
        <v>Manure sent off-site</v>
      </c>
      <c r="D25" s="15" t="s">
        <v>164</v>
      </c>
      <c r="E25" s="15">
        <f>'6.2.1.1-2 Pasture residue N2O'!$E$21</f>
        <v>7.4226E-2</v>
      </c>
      <c r="F25" s="15" t="str">
        <f>X_Cell_Pasture_IrrigationMethod</f>
        <v>Surface irrigation</v>
      </c>
      <c r="G25" s="15">
        <f>X_Cell_Site_LeachingZone</f>
        <v>0</v>
      </c>
      <c r="H25" s="15">
        <f>CommonCropping_InputFunctions.CommonCropping_GetFracWET(G25,F25,Table_SourceData_FracWET[Is in leaching zone],Table_SourceData_FracWET[FracWET], Table_SourceData_FracWETIrrigation[Irrigation type i],Table_SourceData_FracWETIrrigation[FracWET])</f>
        <v>1</v>
      </c>
      <c r="I25" s="15" cm="1">
        <f t="array" ref="I25">AgResidue_Equations_Leaching.VEERG_6_3_1_1__2__MassOfNitrogenLostThroughLeachingAndRunoff(E25,H25,$J$15)</f>
        <v>1.7814239999999999E-2</v>
      </c>
      <c r="N25" s="15"/>
      <c r="O25" s="15">
        <f>'6.2.1.1-2 Pasture residue N2O'!$O$21</f>
        <v>7.4226E-2</v>
      </c>
      <c r="P25" s="15"/>
      <c r="Q25" s="15"/>
      <c r="R25" s="15"/>
      <c r="S25" s="15" cm="1">
        <f t="array" ref="S25">AgResidue_Equations_Leaching.VEERG_6_3_1_1__2__MassOfNitrogenLostThroughLeachingAndRunoff(O25,H25,$J$15)</f>
        <v>1.7814239999999999E-2</v>
      </c>
    </row>
    <row r="26" spans="1:20" ht="20.100000000000001" customHeight="1" x14ac:dyDescent="0.25">
      <c r="A26" s="5" t="str">
        <f>HYPERLINK("#'Input - Data quality'!A1", "Data quality")</f>
        <v>Data quality</v>
      </c>
    </row>
    <row r="27" spans="1:20" ht="20.100000000000001" customHeight="1" x14ac:dyDescent="0.25">
      <c r="C27" s="249"/>
      <c r="D27" s="249"/>
      <c r="E27" s="249"/>
      <c r="F27" s="249"/>
      <c r="G27" s="249"/>
      <c r="H27" s="249"/>
      <c r="I27" s="249"/>
      <c r="J27" s="249"/>
      <c r="K27" s="249"/>
      <c r="M27" s="249"/>
      <c r="N27" s="249"/>
      <c r="O27" s="249"/>
      <c r="P27" s="249"/>
      <c r="Q27" s="249"/>
      <c r="R27" s="249"/>
      <c r="S27" s="249"/>
      <c r="T27" s="249"/>
    </row>
    <row r="28" spans="1:20" ht="20.100000000000001" customHeight="1" x14ac:dyDescent="0.25">
      <c r="C28" s="8"/>
      <c r="D28" s="2" t="str" cm="1">
        <f t="array" ref="D28">AgResidue_Equations_Leaching.VEERG_6_3_1_1__1__LeachingAndRunoffEmissionsCropAndPastureResidue_Title()</f>
        <v>Nitrous oxide leaching and runoff emissions from crop and pasture residues returned to the soil</v>
      </c>
      <c r="E28" s="8"/>
      <c r="F28" s="250"/>
      <c r="G28" s="8"/>
      <c r="H28" s="8"/>
      <c r="I28" s="8"/>
      <c r="J28" s="8"/>
      <c r="K28" s="8"/>
    </row>
    <row r="29" spans="1:20" ht="20.100000000000001" customHeight="1" x14ac:dyDescent="0.25">
      <c r="A29" s="6" t="s">
        <v>2</v>
      </c>
      <c r="C29" s="8"/>
      <c r="D29" s="1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HYPERLINK("#'3.3.1.1-2 Enteric Methane'!A1", "3.3.1.1-2 Enteric methane")</f>
        <v>3.3.1.1-2 Enteric methane</v>
      </c>
      <c r="C30" s="8"/>
      <c r="D30" s="117" t="s">
        <v>343</v>
      </c>
      <c r="E30" s="117" t="str" cm="1">
        <f t="array" aca="1" ref="E30" ca="1">Common_InputFunctions.Utility_DisplayFunctionName(E46)</f>
        <v>=AgResidue_Equations_Leaching.VEERG_6_3_1_1__1__LeachingAndRunoffEmissionsCropAndPastureResidue</v>
      </c>
      <c r="F30" s="8"/>
      <c r="G30" s="8"/>
      <c r="H30" s="8"/>
      <c r="I30" s="8"/>
      <c r="J30" s="8"/>
      <c r="K30" s="8"/>
    </row>
    <row r="31" spans="1:20" ht="20.100000000000001" customHeight="1" x14ac:dyDescent="0.25">
      <c r="A31" s="5" t="str">
        <f>HYPERLINK("#'4.3.1.1-2 Methane'!A1", "4.3.1.1-2 Manure methane")</f>
        <v>4.3.1.1-2 Manure methane</v>
      </c>
      <c r="C31" s="8"/>
      <c r="D31" s="8"/>
      <c r="E31" s="8"/>
      <c r="F31" s="8"/>
      <c r="G31" s="8"/>
      <c r="H31" s="8"/>
      <c r="I31" s="8"/>
      <c r="J31" s="8"/>
      <c r="K31" s="8"/>
    </row>
    <row r="32" spans="1:20" ht="20.100000000000001" customHeight="1" x14ac:dyDescent="0.25">
      <c r="A32" s="5" t="str">
        <f>HYPERLINK("#'4.3.1.3-4 Direct N20'!A1", "4.3.1.3-4 Direct N20")</f>
        <v>4.3.1.3-4 Direct N20</v>
      </c>
      <c r="C32" s="8"/>
      <c r="D32" s="8"/>
      <c r="E32" s="8"/>
      <c r="F32" s="17"/>
      <c r="G32" s="8"/>
      <c r="H32" s="8"/>
      <c r="I32" s="8"/>
      <c r="J32" s="8"/>
      <c r="K32" s="8"/>
    </row>
    <row r="33" spans="1:17" ht="20.100000000000001" customHeight="1" x14ac:dyDescent="0.25">
      <c r="A33" s="5" t="str">
        <f>HYPERLINK("#'4.3.1.5 Atmos deposition'!A1", "4.3.1.5 Atmos deposition")</f>
        <v>4.3.1.5 Atmos deposition</v>
      </c>
      <c r="C33" s="8"/>
      <c r="D33" s="248" t="s">
        <v>344</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HYPERLINK("#'4.3.1.6-7 Leaching and runoff'!A1", "4.3.1.6-7 Leaching &amp; runoff")</f>
        <v>4.3.1.6-7 Leaching &amp; runoff</v>
      </c>
      <c r="C34" s="8"/>
      <c r="D34" s="248" t="s">
        <v>118</v>
      </c>
      <c r="E34" s="9"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HYPERLINK("#'4.3.1.8 Manure applied to soils'!A1", "4.3.1.8 Manure applied to soils")</f>
        <v>4.3.1.8 Manure applied to soils</v>
      </c>
      <c r="C35" s="8"/>
      <c r="D35" s="8"/>
      <c r="E35" s="8"/>
      <c r="F35" s="8"/>
      <c r="G35" s="8"/>
      <c r="H35" s="8"/>
      <c r="I35" s="8"/>
      <c r="J35" s="8"/>
      <c r="K35" s="8"/>
    </row>
    <row r="36" spans="1:17" ht="20.100000000000001" customHeight="1" x14ac:dyDescent="0.25">
      <c r="A36" s="5" t="str">
        <f>HYPERLINK("#'4.3.1.9 Soil direct N2O'!A1", "4.3.1.9 Soil direct N2O")</f>
        <v>4.3.1.9 Soil direct N2O</v>
      </c>
      <c r="C36" s="8"/>
      <c r="D36" s="119" t="str" cm="1">
        <f t="array" ref="D36:E40">_xlfn.CHOOSECOLS(AgResidue_Equations_Leaching.VEERG_6_3_1_1__1__LeachingAndRunoffEmissionsCropAndPastureResidue_Arguments(),1,2)</f>
        <v>M_leachcp</v>
      </c>
      <c r="E36" s="124" t="str">
        <v>mass of nitrogen lost through leaching and runoff from the crop residue c or pasture residue p</v>
      </c>
      <c r="F36" s="132"/>
      <c r="G36" s="125"/>
      <c r="H36" s="119" t="str" cm="1">
        <f t="array" ref="H36:I40">_xlfn.CHOOSECOLS(AgResidue_Equations_Leaching.VEERG_6_3_1_1__1__LeachingAndRunoffEmissionsCropAndPastureResidue_Arguments(),3,4)</f>
        <v>kg N</v>
      </c>
      <c r="I36" s="127" t="str">
        <v>Calculated from 6.3.1.1 (2)</v>
      </c>
      <c r="J36" s="119" t="str" cm="1">
        <f t="array" aca="1" ref="J36" ca="1">HYPERLINK(Common_InputFunctions.Utility_SourceHyperlink($D$21), $D$21)</f>
        <v>M1_Table_M_leach_cp</v>
      </c>
      <c r="K36" s="8"/>
    </row>
    <row r="37" spans="1:17" ht="20.100000000000001" customHeight="1" x14ac:dyDescent="0.25">
      <c r="A37" s="5" t="str">
        <f>HYPERLINK("#'4.3.1.10-11 Soil Atmos Dep'!A1", "4.3.1.10-11 Soil Atmos Deposition")</f>
        <v>4.3.1.10-11 Soil Atmos Deposition</v>
      </c>
      <c r="C37" s="8"/>
      <c r="D37" s="119" t="str">
        <v>EF_leach</v>
      </c>
      <c r="E37" s="124" t="str">
        <v>emission factor for leaching and runoff</v>
      </c>
      <c r="F37" s="132"/>
      <c r="G37" s="125"/>
      <c r="H37" s="119" t="str">
        <v>kg N2O-N/kg N</v>
      </c>
      <c r="I37" s="127" t="str">
        <v>Constant</v>
      </c>
      <c r="J37" s="119">
        <f>'Constants - Common'!$E$170</f>
        <v>1.0999999999999999E-2</v>
      </c>
      <c r="K37" s="8"/>
    </row>
    <row r="38" spans="1:17" ht="20.100000000000001" customHeight="1" x14ac:dyDescent="0.25">
      <c r="A38" s="5" t="str">
        <f>HYPERLINK("#'4.3.1.12-13 Soil leach runoff'!A1", "4.3.1.12-13 Soil leach &amp; runoff")</f>
        <v>4.3.1.12-13 Soil leach &amp; runoff</v>
      </c>
      <c r="C38" s="8"/>
      <c r="D38" s="119" t="str">
        <v>C_N2O</v>
      </c>
      <c r="E38" s="124" t="str">
        <v>factor to convert elemental mass of nitrous oxide to molecular mass</v>
      </c>
      <c r="F38" s="132"/>
      <c r="G38" s="125"/>
      <c r="H38" s="119" t="str">
        <v>dimensionless</v>
      </c>
      <c r="I38" s="127" t="str">
        <v>Constant</v>
      </c>
      <c r="J38" s="119">
        <f>Common_InputFunctions.Utility_LookupValueInTableNumber("N2O",Table_GasToMolecularConversionFactor[Gas],Table_GasToMolecularConversionFactor[Conversion factor combined])</f>
        <v>1.5714285714285714</v>
      </c>
      <c r="K38" s="8"/>
    </row>
    <row r="39" spans="1:17" ht="20.100000000000001" customHeight="1" x14ac:dyDescent="0.25">
      <c r="A39" s="5" t="str">
        <f>HYPERLINK("#'5.1.1.1-2 Inorganic fert N2O'!A1", "5.1.1.1-2 Inorganic fert N2O")</f>
        <v>5.1.1.1-2 Inorganic fert N2O</v>
      </c>
      <c r="C39" s="8"/>
      <c r="D39" s="119" t="str">
        <v>c</v>
      </c>
      <c r="E39" s="124" t="str">
        <v>Crop residue type</v>
      </c>
      <c r="F39" s="132"/>
      <c r="G39" s="125"/>
      <c r="H39" s="119" t="str">
        <v/>
      </c>
      <c r="I39" s="120" t="str">
        <v>Input</v>
      </c>
      <c r="J39" s="119" t="s">
        <v>285</v>
      </c>
      <c r="K39" s="8"/>
    </row>
    <row r="40" spans="1:17" ht="20.100000000000001" customHeight="1" x14ac:dyDescent="0.25">
      <c r="A40" s="5" t="str">
        <f>HYPERLINK("#'5.1.1.3-4 Inorganic fert CO2'!A1", "5.1.1.3-4 Inorganic fert CO2")</f>
        <v>5.1.1.3-4 Inorganic fert CO2</v>
      </c>
      <c r="C40" s="8"/>
      <c r="D40" s="119" t="str">
        <v>p</v>
      </c>
      <c r="E40" s="124" t="str">
        <v>Pasture residue type</v>
      </c>
      <c r="F40" s="132"/>
      <c r="G40" s="125"/>
      <c r="H40" s="119" t="str">
        <v/>
      </c>
      <c r="I40" s="120" t="str">
        <v>Input</v>
      </c>
      <c r="J40" s="119" t="str">
        <f>X_Cell_Pasture_PastureType</f>
        <v>Grass clover mixture</v>
      </c>
      <c r="K40" s="8"/>
    </row>
    <row r="41" spans="1:17" ht="20.100000000000001" customHeight="1" x14ac:dyDescent="0.25">
      <c r="A41" s="5" t="str">
        <f>HYPERLINK("#'5.2.1.1-2 Organic Fert N2O'!A1", "5.2.1.1-2 Organic fert N2O")</f>
        <v>5.2.1.1-2 Organic fert N2O</v>
      </c>
      <c r="C41" s="8"/>
      <c r="D41" s="8"/>
      <c r="E41" s="8"/>
      <c r="F41" s="8"/>
      <c r="G41" s="8"/>
      <c r="H41" s="8"/>
      <c r="I41" s="8"/>
      <c r="J41" s="8"/>
      <c r="K41" s="8"/>
    </row>
    <row r="42" spans="1:17" ht="20.100000000000001" customHeight="1" x14ac:dyDescent="0.25">
      <c r="A42" s="5" t="str">
        <f>HYPERLINK("#'5.3.1.1-2 Lime CO2'!A1", "5.3.1.1-2 Lime CO2")</f>
        <v>5.3.1.1-2 Lime CO2</v>
      </c>
      <c r="C42" s="8"/>
      <c r="D42" s="121" t="s">
        <v>722</v>
      </c>
      <c r="E42" s="8"/>
      <c r="F42" s="8"/>
      <c r="G42" s="8"/>
      <c r="H42" s="8"/>
      <c r="I42" s="8"/>
      <c r="J42" s="8"/>
      <c r="K42" s="8"/>
      <c r="N42" s="121" t="s">
        <v>722</v>
      </c>
      <c r="O42" s="8"/>
      <c r="P42" s="8"/>
      <c r="Q42" s="8"/>
    </row>
    <row r="43" spans="1:17" ht="20.100000000000001" customHeight="1" x14ac:dyDescent="0.25">
      <c r="A43" s="5" t="str">
        <f>HYPERLINK("#'5.4.1.1-4 Atmos deposition'!A1", "5.4.1.1-4 Atmos. deposition")</f>
        <v>5.4.1.1-4 Atmos. deposition</v>
      </c>
      <c r="C43" s="8"/>
      <c r="D43" s="122" t="s">
        <v>1060</v>
      </c>
      <c r="E43" s="8"/>
      <c r="F43" s="8"/>
      <c r="G43" s="8"/>
      <c r="H43" s="8"/>
      <c r="I43" s="8"/>
      <c r="J43" s="8"/>
      <c r="K43" s="8"/>
      <c r="N43" s="122" t="s">
        <v>1060</v>
      </c>
      <c r="O43" s="8"/>
      <c r="P43" s="8"/>
      <c r="Q43" s="8"/>
    </row>
    <row r="44" spans="1:17" ht="20.100000000000001" customHeight="1" x14ac:dyDescent="0.25">
      <c r="A44" s="5" t="str">
        <f>HYPERLINK("#'5.5.1.1-2 Leaching and runoff'!A1", "5.5.1.1-2 Leaching &amp; runoff")</f>
        <v>5.5.1.1-2 Leaching &amp; runoff</v>
      </c>
      <c r="C44" s="8"/>
      <c r="D44" s="123" t="s">
        <v>1059</v>
      </c>
      <c r="E44" s="123" t="s">
        <v>1061</v>
      </c>
      <c r="F44" s="8"/>
      <c r="G44" s="8"/>
      <c r="H44" s="8"/>
      <c r="I44" s="8"/>
      <c r="J44" s="8"/>
      <c r="K44" s="8"/>
      <c r="N44" s="123" t="s">
        <v>1059</v>
      </c>
      <c r="O44" s="123" t="s">
        <v>1061</v>
      </c>
      <c r="P44" s="8"/>
      <c r="Q44" s="8"/>
    </row>
    <row r="45" spans="1:17" ht="20.100000000000001" customHeight="1" x14ac:dyDescent="0.25">
      <c r="A45" s="5" t="str">
        <f>HYPERLINK("#'6.2.1.1-2 Pasture residue N2O'!A1", "6.2.1.1-2 Pasture residue N2O")</f>
        <v>6.2.1.1-2 Pasture residue N2O</v>
      </c>
      <c r="C45" s="8"/>
      <c r="D45" s="15" t="str">
        <f>I24</f>
        <v>N/A</v>
      </c>
      <c r="E45" s="15" t="s">
        <v>285</v>
      </c>
      <c r="F45" s="8"/>
      <c r="G45" s="8"/>
      <c r="H45" s="8"/>
      <c r="I45" s="8"/>
      <c r="J45" s="8"/>
      <c r="K45" s="8"/>
      <c r="N45" s="15" t="str">
        <f>S24</f>
        <v>N/A</v>
      </c>
      <c r="O45" s="15" t="s">
        <v>285</v>
      </c>
      <c r="P45" s="8"/>
      <c r="Q45" s="8"/>
    </row>
    <row r="46" spans="1:17" ht="20.100000000000001" customHeight="1" x14ac:dyDescent="0.25">
      <c r="A46" s="118" t="str">
        <f>HYPERLINK("#'6.3.1.1-2 Leach runoff pasture'!A1", "6.3.1.1-2 Leach &amp; runoff (pasture)")</f>
        <v>6.3.1.1-2 Leach &amp; runoff (pasture)</v>
      </c>
      <c r="C46" s="8"/>
      <c r="D46" s="15">
        <f>I25</f>
        <v>1.7814239999999999E-2</v>
      </c>
      <c r="E46" s="15" cm="1">
        <f t="array" ref="E46">AgResidue_Equations_Leaching.VEERG_6_3_1_1__1__LeachingAndRunoffEmissionsCropAndPastureResidue(D46,$J$37,$J$38)</f>
        <v>3.0793186285714277E-7</v>
      </c>
      <c r="F46" s="8"/>
      <c r="G46" s="8"/>
      <c r="H46" s="8"/>
      <c r="I46" s="8"/>
      <c r="J46" s="8"/>
      <c r="K46" s="8"/>
      <c r="N46" s="15">
        <f>S25</f>
        <v>1.7814239999999999E-2</v>
      </c>
      <c r="O46" s="15" cm="1">
        <f t="array" ref="O46">AgResidue_Equations_Leaching.VEERG_6_3_1_1__1__LeachingAndRunoffEmissionsCropAndPastureResidue(N46,$J$37,$J$38)</f>
        <v>3.0793186285714277E-7</v>
      </c>
      <c r="P46" s="8"/>
      <c r="Q46" s="8"/>
    </row>
    <row r="47" spans="1:17" ht="20.100000000000001" customHeight="1" x14ac:dyDescent="0.25">
      <c r="A47" s="5" t="str">
        <f>HYPERLINK("#'8.1.1.1-2 Transport fuel'!A1", "8.1.1.1-2 Transport fuel")</f>
        <v>8.1.1.1-2 Transport fuel</v>
      </c>
      <c r="C47" s="8"/>
      <c r="F47" s="8"/>
      <c r="G47" s="8"/>
      <c r="H47" s="8"/>
      <c r="I47" s="8"/>
      <c r="J47" s="8"/>
      <c r="K47" s="8"/>
      <c r="P47" s="8"/>
      <c r="Q47" s="8"/>
    </row>
    <row r="48" spans="1:17" ht="20.100000000000001" customHeight="1" x14ac:dyDescent="0.4">
      <c r="A48" s="5" t="str">
        <f>HYPERLINK("#'8.2.1.1-2 Stationary fuel'!A1", "8.2.1.1-2 Stationary fuel")</f>
        <v>8.2.1.1-2 Stationary fuel</v>
      </c>
      <c r="C48" s="8"/>
      <c r="D48" s="251" t="s">
        <v>1062</v>
      </c>
      <c r="E48" s="252">
        <f>SUM(E45:E46)</f>
        <v>3.0793186285714277E-7</v>
      </c>
      <c r="F48" s="90" t="str">
        <f>$E$34</f>
        <v>t N2O</v>
      </c>
      <c r="G48" s="8"/>
      <c r="H48" s="8"/>
      <c r="I48" s="8"/>
      <c r="J48" s="8"/>
      <c r="K48" s="8"/>
      <c r="N48" s="251" t="s">
        <v>1062</v>
      </c>
      <c r="O48" s="252">
        <f>SUM(O45:O46)</f>
        <v>3.0793186285714277E-7</v>
      </c>
      <c r="P48" s="90" t="str">
        <f>$E$34</f>
        <v>t N2O</v>
      </c>
      <c r="Q48" s="8"/>
    </row>
    <row r="49" spans="1:17" ht="20.100000000000001" customHeight="1" x14ac:dyDescent="0.25">
      <c r="A49" s="5" t="str">
        <f>HYPERLINK("#'10.1.1-2 Solid waste treatment'!A1", "10.1.1.1-2 Solid waste")</f>
        <v>10.1.1.1-2 Solid waste</v>
      </c>
      <c r="D49" s="8"/>
      <c r="E49" s="8"/>
      <c r="F49" s="8"/>
      <c r="G49" s="8"/>
      <c r="N49" s="8"/>
      <c r="O49" s="8"/>
      <c r="P49" s="8"/>
      <c r="Q49" s="8"/>
    </row>
    <row r="50" spans="1:17" ht="20.100000000000001" customHeight="1" x14ac:dyDescent="0.25">
      <c r="A50" s="5" t="str">
        <f>HYPERLINK("#'14.1.1-2 Purchased electricity'!A1", "14.1.1-2 Purchased electricity")</f>
        <v>14.1.1-2 Purchased electricity</v>
      </c>
      <c r="D50" s="131" t="str" cm="1">
        <f t="array" ref="D50:E51">Common_Equations.Common_ConvertN2OToCO2e_Arguments()</f>
        <v>EN2O</v>
      </c>
      <c r="E50" s="134" t="str">
        <v>Nitrous oxide emissions (t N2O)</v>
      </c>
      <c r="F50" s="135"/>
      <c r="G50" s="15">
        <f>VEERG_6_3_1_1__1__LeachingAndRunoffEmissionsCropAndPastureResidue_PastureOnly_Result_Method1</f>
        <v>3.0793186285714277E-7</v>
      </c>
      <c r="N50" s="131" t="str" cm="1">
        <f t="array" ref="N50:O51">Common_Equations.Common_ConvertN2OToCO2e_Arguments()</f>
        <v>EN2O</v>
      </c>
      <c r="O50" s="134" t="str">
        <v>Nitrous oxide emissions (t N2O)</v>
      </c>
      <c r="P50" s="135"/>
      <c r="Q50" s="15">
        <f>VEERG_6_3_1_1__1__LeachingAndRunoffEmissionsCropAndPastureResidue_PastureOnly_Result_Method2</f>
        <v>3.0793186285714277E-7</v>
      </c>
    </row>
    <row r="51" spans="1:17" ht="20.100000000000001" customHeight="1" x14ac:dyDescent="0.25">
      <c r="A51" s="5" t="str">
        <f>HYPERLINK("#'15 Scope 3'!A1", "15 Scope 3")</f>
        <v>15 Scope 3</v>
      </c>
      <c r="D51" s="131" t="str">
        <v>GWPN2O</v>
      </c>
      <c r="E51" s="134" t="str">
        <v>Global warming potential for nitrous oxide (t CO2-e / t N2O)</v>
      </c>
      <c r="F51" s="135"/>
      <c r="G51" s="15">
        <f>Common_InputFunctions.Utility_LookupValueInTableNumber("N2O",Table_GWPData[Gas],Table_GWPData[CO2-e factor])</f>
        <v>265</v>
      </c>
      <c r="H51" s="8"/>
      <c r="I51" s="8"/>
      <c r="N51" s="131" t="str">
        <v>GWPN2O</v>
      </c>
      <c r="O51" s="134" t="str">
        <v>Global warming potential for nitrous oxide (t CO2-e / t N2O)</v>
      </c>
      <c r="P51" s="135"/>
      <c r="Q51" s="15">
        <f>Common_InputFunctions.Utility_LookupValueInTableNumber("N2O",Table_GWPData[Gas],Table_GWPData[CO2-e factor])</f>
        <v>265</v>
      </c>
    </row>
    <row r="52" spans="1:17" ht="20.100000000000001" customHeight="1" x14ac:dyDescent="0.25">
      <c r="A52" s="5" t="str">
        <f>HYPERLINK("#'Calcs - Manure sent off-site'!A1", "Calcs - Manure sent off-site")</f>
        <v>Calcs - Manure sent off-site</v>
      </c>
      <c r="H52" s="8"/>
      <c r="I52" s="8"/>
    </row>
    <row r="53" spans="1:17" ht="20.100000000000001" customHeight="1" x14ac:dyDescent="0.25">
      <c r="D53" s="89" t="s">
        <v>493</v>
      </c>
      <c r="E53" s="89" cm="1">
        <f t="array" ref="E53">Common_Equations.Common_ConvertN2OToCO2e(G50,G51)</f>
        <v>8.1601943657142831E-5</v>
      </c>
      <c r="F53" s="94" t="str" cm="1">
        <f t="array" ref="F53">Common_Equations.Common_ConvertN2OToCO2e_Unit()</f>
        <v>t CO2e</v>
      </c>
      <c r="I53" s="8"/>
      <c r="N53" s="89" t="s">
        <v>493</v>
      </c>
      <c r="O53" s="89" cm="1">
        <f t="array" ref="O53">Common_Equations.Common_ConvertN2OToCO2e(Q50,Q51)</f>
        <v>8.1601943657142831E-5</v>
      </c>
      <c r="P53" s="94" t="str" cm="1">
        <f t="array" ref="P53">Common_Equations.Common_ConvertN2OToCO2e_Unit()</f>
        <v>t CO2e</v>
      </c>
    </row>
    <row r="54" spans="1:17" ht="20.100000000000001" customHeight="1" x14ac:dyDescent="0.25">
      <c r="I54" s="8"/>
    </row>
    <row r="55" spans="1:17" ht="20.100000000000001" customHeight="1" x14ac:dyDescent="0.25">
      <c r="A55" s="83" t="s">
        <v>1</v>
      </c>
    </row>
    <row r="56" spans="1:17" ht="20.100000000000001" customHeight="1" x14ac:dyDescent="0.25">
      <c r="A56" s="5" t="str">
        <f>HYPERLINK("#'Constants - Dairy'!A1", "Constants - Dairy")</f>
        <v>Constants - Dairy</v>
      </c>
    </row>
    <row r="57" spans="1:17" ht="20.100000000000001" customHeight="1" x14ac:dyDescent="0.25">
      <c r="A57" s="5" t="str">
        <f>HYPERLINK("#'Constants - Ag Residue'!A1", "Constants - Ag residue")</f>
        <v>Constants - Ag residue</v>
      </c>
    </row>
    <row r="58" spans="1:17" ht="20.100000000000001" customHeight="1" x14ac:dyDescent="0.25">
      <c r="A58" s="5" t="str">
        <f>HYPERLINK("#'Constants - Common Livestock'!A1", "Constants - Common Livestock")</f>
        <v>Constants - Common Livestock</v>
      </c>
    </row>
    <row r="59" spans="1:17" ht="20.100000000000001" customHeight="1" x14ac:dyDescent="0.25">
      <c r="A59" s="5" t="str">
        <f>HYPERLINK("#'Constants - Electricity'!A1", "Constants - Electricity")</f>
        <v>Constants - Electricity</v>
      </c>
    </row>
    <row r="60" spans="1:17" ht="20.100000000000001" customHeight="1" x14ac:dyDescent="0.25">
      <c r="A60" s="5" t="str">
        <f>HYPERLINK("#'Constants - Fertiliser'!A1", "Constants - Fertiliser")</f>
        <v>Constants - Fertiliser</v>
      </c>
      <c r="H60" s="8"/>
      <c r="I60" s="8"/>
    </row>
    <row r="61" spans="1:17" ht="20.100000000000001" customHeight="1" x14ac:dyDescent="0.25">
      <c r="A61" s="5" t="str">
        <f>HYPERLINK("#'Constants - Fuel'!A1", "Constants - Fuel")</f>
        <v>Constants - Fuel</v>
      </c>
      <c r="H61" s="8"/>
      <c r="I61" s="8"/>
    </row>
    <row r="62" spans="1:17" ht="20.100000000000001" customHeight="1" x14ac:dyDescent="0.25">
      <c r="A62" s="5" t="str">
        <f>HYPERLINK("#'Constants - Scope 3'!A1", "Constants - Scope 3")</f>
        <v>Constants - Scope 3</v>
      </c>
    </row>
    <row r="63" spans="1:17" ht="20.100000000000001" customHeight="1" x14ac:dyDescent="0.25">
      <c r="A63" s="5" t="str">
        <f>HYPERLINK("#'Constants - Common'!A1", "Constants - Common")</f>
        <v>Constants - Common</v>
      </c>
    </row>
    <row r="64" spans="1:17"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6DB9-52AB-4C7B-B778-100B7F743B07}">
  <sheetPr>
    <tabColor rgb="FF008000"/>
  </sheetPr>
  <dimension ref="A1:R342"/>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889</v>
      </c>
    </row>
    <row r="2" spans="1:18" s="3" customFormat="1" ht="20.100000000000001" customHeight="1" x14ac:dyDescent="0.25">
      <c r="A2"/>
    </row>
    <row r="3" spans="1:18" ht="20.100000000000001" customHeight="1" x14ac:dyDescent="0.25">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84"/>
      <c r="P5" s="184"/>
      <c r="Q5" s="184"/>
    </row>
    <row r="6" spans="1:18" ht="20.100000000000001" customHeight="1" x14ac:dyDescent="0.25">
      <c r="A6" s="5" t="str">
        <f>HYPERLINK("#'Results'!A1", "Results")</f>
        <v>Results</v>
      </c>
      <c r="D6" s="17" t="str" cm="1">
        <f t="array" ref="D6">Fuel_Equations.VEERG_8_1_1_1__1_FuelCombustionTransport_Source()</f>
        <v>VEERG 2026: 8.1.1.1, Equation (1)</v>
      </c>
      <c r="K6" s="17" t="str" cm="1">
        <f t="array" ref="K6">Scope3_Equations.VEERG_15_11_1_1__2_UpstreamTransportFuelEmissions_Source()</f>
        <v>VEERG 2026: 15.11.1.1, Equation (2)</v>
      </c>
      <c r="O6" s="184"/>
      <c r="P6" s="184"/>
      <c r="Q6" s="184"/>
    </row>
    <row r="7" spans="1:18" ht="20.100000000000001" customHeight="1" x14ac:dyDescent="0.25">
      <c r="D7" s="117" t="s">
        <v>343</v>
      </c>
      <c r="E7" s="117" t="str" cm="1">
        <f t="array" aca="1" ref="E7" ca="1">Common_InputFunctions.Utility_DisplayFunctionName(N25)</f>
        <v>=Fuel_Equations.VEERG_8_1_1_1__1_FuelCombustionTransport</v>
      </c>
      <c r="K7" s="117" t="s">
        <v>343</v>
      </c>
      <c r="L7" s="117" t="str" cm="1">
        <f t="array" aca="1" ref="L7" ca="1">Common_InputFunctions.Utility_DisplayFunctionName(Q25)</f>
        <v>=Scope3_Equations.VEERG_15_11_1_1__2_UpstreamTransportFuelEmissions</v>
      </c>
      <c r="O7" s="184"/>
      <c r="P7" s="184"/>
      <c r="Q7" s="184"/>
    </row>
    <row r="8" spans="1:18" ht="20.100000000000001" customHeight="1" x14ac:dyDescent="0.25">
      <c r="E8" s="117"/>
      <c r="L8" s="117"/>
      <c r="O8" s="184"/>
      <c r="P8" s="184"/>
      <c r="Q8" s="184"/>
    </row>
    <row r="9" spans="1:18" ht="20.100000000000001" customHeight="1" x14ac:dyDescent="0.25">
      <c r="A9" s="7" t="s">
        <v>0</v>
      </c>
      <c r="G9" s="17"/>
      <c r="O9" s="184"/>
      <c r="P9" s="184"/>
      <c r="Q9" s="184"/>
    </row>
    <row r="10" spans="1:18" ht="20.100000000000001" customHeight="1" x14ac:dyDescent="0.25">
      <c r="A10" s="5" t="str">
        <f>HYPERLINK("#'Input - Enterprise'!A1", "Enterprise")</f>
        <v>Enterprise</v>
      </c>
      <c r="O10" s="184"/>
      <c r="P10" s="184"/>
      <c r="Q10" s="184"/>
    </row>
    <row r="11" spans="1:18" ht="20.100000000000001" customHeight="1" x14ac:dyDescent="0.25">
      <c r="A11" s="5" t="str">
        <f>HYPERLINK("#'Input - Site'!A1", "Site")</f>
        <v>Site</v>
      </c>
      <c r="D11" s="76" t="s">
        <v>344</v>
      </c>
      <c r="E11" s="1" t="str" cm="1">
        <f t="array" ref="E11">Fuel_Equations.VEERG_8_1_1_1__1_FuelCombustionTransport_Variable()</f>
        <v>E_g</v>
      </c>
      <c r="K11" s="76" t="s">
        <v>344</v>
      </c>
      <c r="L11" s="1" t="str" cm="1">
        <f t="array" ref="L11">Scope3_Equations.VEERG_15_11_1_1__2_UpstreamTransportFuelEmissions_Variable()</f>
        <v>E_WTTtransq</v>
      </c>
      <c r="O11" s="184"/>
      <c r="P11" s="184"/>
      <c r="Q11" s="184"/>
    </row>
    <row r="12" spans="1:18" ht="20.100000000000001" customHeight="1" x14ac:dyDescent="0.25">
      <c r="A12" s="5" t="str">
        <f>HYPERLINK("#'Input - Dairy'!A1", "Dairy")</f>
        <v>Dairy</v>
      </c>
      <c r="D12" s="76" t="s">
        <v>118</v>
      </c>
      <c r="E12" s="9" t="str" cm="1">
        <f t="array" ref="E12">Fuel_Equations.VEERG_8_1_1_1__1_FuelCombustionTransport_Unit()</f>
        <v>t CO2-e</v>
      </c>
      <c r="K12" s="76" t="s">
        <v>118</v>
      </c>
      <c r="L12" s="9" t="str" cm="1">
        <f t="array" ref="L12">Scope3_Equations.VEERG_15_11_1_1__2_UpstreamTransportFuelEmissions_Unit()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19" t="str" cm="1">
        <f t="array" ref="D14:E20">_xlfn.CHOOSECOLS(Fuel_Equations.VEERG_8_1_1_1__1_FuelCombustionTransport_Arguments(), 1,2)</f>
        <v>Q_Transtq</v>
      </c>
      <c r="E14" s="124" t="str">
        <v>Amount of fuel type q combusted for transport energy purposes</v>
      </c>
      <c r="F14" s="125"/>
      <c r="G14" s="119" t="str" cm="1">
        <f t="array" ref="G14:H20">_xlfn.CHOOSECOLS(Fuel_Equations.VEERG_8_1_1_1__1_FuelCombustionTransport_Arguments(), 3,4)</f>
        <v>Varies based on fuel type: kL, m3, GJ</v>
      </c>
      <c r="H14" s="120" t="str">
        <v>Input</v>
      </c>
      <c r="I14" s="126" t="str" cm="1">
        <f t="array" aca="1" ref="I14" ca="1">HYPERLINK(Common_InputFunctions.Utility_SourceHyperlink($D$22), $D$22)</f>
        <v>Table_E_g</v>
      </c>
      <c r="K14" s="119" t="str" cm="1">
        <f t="array" ref="K14:L16">_xlfn.CHOOSECOLS(Scope3_Equations.VEERG_15_11_1_1__2_UpstreamTransportFuelEmissions_Arguments(),1,2)</f>
        <v>Q_Transq</v>
      </c>
      <c r="L14" s="119" t="str">
        <v>amount of fuel q combusted for transport energy purposes</v>
      </c>
      <c r="M14" s="119"/>
      <c r="N14" s="119" t="str" cm="1">
        <f t="array" ref="N14:O16">_xlfn.CHOOSECOLS(Scope3_Equations.VEERG_15_11_1_1__2_UpstreamTransportFuelEmissions_Arguments(),3,4)</f>
        <v>kL</v>
      </c>
      <c r="O14" s="120" t="str">
        <v>Input</v>
      </c>
      <c r="P14" s="126" t="str" cm="1">
        <f t="array" aca="1" ref="P14" ca="1">HYPERLINK(Common_InputFunctions.Utility_SourceHyperlink($D$22), $D$22)</f>
        <v>Table_E_g</v>
      </c>
      <c r="Q14" s="184"/>
    </row>
    <row r="15" spans="1:18" ht="20.100000000000001" customHeight="1" x14ac:dyDescent="0.25">
      <c r="A15" s="5" t="str">
        <f>HYPERLINK("#'Input - Pasture'!A1", "Pasture")</f>
        <v>Pasture</v>
      </c>
      <c r="D15" s="119" t="str">
        <v>EC_Transq</v>
      </c>
      <c r="E15" s="124" t="str">
        <v>Energy content factor for transport energy purposes</v>
      </c>
      <c r="F15" s="125"/>
      <c r="G15" s="119" t="str">
        <v>GJ / unit of fuel</v>
      </c>
      <c r="H15" s="127" t="str">
        <v>Constant</v>
      </c>
      <c r="I15" s="126" t="str" cm="1">
        <f t="array" aca="1" ref="I15" ca="1">HYPERLINK(Common_InputFunctions.Utility_SourceHyperlink($D$22), $D$22)</f>
        <v>Table_E_g</v>
      </c>
      <c r="K15" s="119" t="str">
        <v>EC_Transq</v>
      </c>
      <c r="L15" s="119" t="str">
        <v>energy content factor for transport energy purposes</v>
      </c>
      <c r="M15" s="119"/>
      <c r="N15" s="119" t="str">
        <v>GJ/kL or GJ/m3</v>
      </c>
      <c r="O15" s="127" t="str">
        <v>Constant</v>
      </c>
      <c r="P15" s="126" t="str" cm="1">
        <f t="array" aca="1" ref="P15" ca="1">HYPERLINK(Common_InputFunctions.Utility_SourceHyperlink($D$22), $D$22)</f>
        <v>Table_E_g</v>
      </c>
      <c r="Q15" s="184"/>
    </row>
    <row r="16" spans="1:18" ht="20.100000000000001" customHeight="1" x14ac:dyDescent="0.25">
      <c r="A16" s="5" t="str">
        <f>HYPERLINK("#'Input - Fert Prod System'!A1", "Fert Prod System")</f>
        <v>Fert Prod System</v>
      </c>
      <c r="D16" s="119" t="str">
        <v>EF_Trans1tqg</v>
      </c>
      <c r="E16" s="124" t="str">
        <v>Scope 1 emission factor for transport energy purposes for each greenhouse gas</v>
      </c>
      <c r="F16" s="125"/>
      <c r="G16" s="119" t="str">
        <v>kg CO2e / GJ</v>
      </c>
      <c r="H16" s="127" t="str">
        <v>Constant</v>
      </c>
      <c r="I16" s="126" t="str" cm="1">
        <f t="array" aca="1" ref="I16" ca="1">HYPERLINK(Common_InputFunctions.Utility_SourceHyperlink($D$22), $D$22)</f>
        <v>Table_E_g</v>
      </c>
      <c r="K16" s="119" t="str">
        <v>EF_Trans3q</v>
      </c>
      <c r="L16" s="119" t="str">
        <v>scope 3 emission factor for transport energy purposes</v>
      </c>
      <c r="M16" s="119"/>
      <c r="N16" s="119" t="str">
        <v>kg CO2e/GJ</v>
      </c>
      <c r="O16" s="127" t="str">
        <v>Constant</v>
      </c>
      <c r="P16" s="126" t="str" cm="1">
        <f t="array" aca="1" ref="P16" ca="1">HYPERLINK(Common_InputFunctions.Utility_SourceHyperlink($D$22), $D$22)</f>
        <v>Table_E_g</v>
      </c>
      <c r="Q16" s="184"/>
    </row>
    <row r="17" spans="1:17" ht="20.100000000000001" customHeight="1" x14ac:dyDescent="0.25">
      <c r="A17" s="5" t="str">
        <f>HYPERLINK("#'Input - Fertiliser'!A1", "Fertiliser")</f>
        <v>Fertiliser</v>
      </c>
      <c r="D17" s="119" t="str">
        <v>q</v>
      </c>
      <c r="E17" s="124" t="str">
        <v>Fuel type</v>
      </c>
      <c r="F17" s="125"/>
      <c r="G17" s="119" t="str">
        <v/>
      </c>
      <c r="H17" s="127" t="str">
        <v>Constant</v>
      </c>
      <c r="I17" s="126"/>
      <c r="J17" s="184"/>
      <c r="P17" s="184"/>
      <c r="Q17" s="184"/>
    </row>
    <row r="18" spans="1:17" ht="20.100000000000001" customHeight="1" x14ac:dyDescent="0.25">
      <c r="A18" s="5" t="str">
        <f>HYPERLINK("#'Input - Fuel'!A1", "Fuel")</f>
        <v>Fuel</v>
      </c>
      <c r="D18" s="119" t="str">
        <v>Trans</v>
      </c>
      <c r="E18" s="124" t="str">
        <v>Transport combustion</v>
      </c>
      <c r="F18" s="125"/>
      <c r="G18" s="119" t="str">
        <v/>
      </c>
      <c r="H18" s="127" t="str">
        <v>Constant</v>
      </c>
      <c r="I18" s="126"/>
      <c r="J18" s="184"/>
      <c r="L18" s="184"/>
      <c r="M18" s="184"/>
      <c r="N18" s="184"/>
      <c r="O18" s="184"/>
      <c r="P18" s="184"/>
      <c r="Q18" s="184"/>
    </row>
    <row r="19" spans="1:17" ht="20.100000000000001" customHeight="1" x14ac:dyDescent="0.25">
      <c r="A19" s="5" t="str">
        <f>HYPERLINK("#'Input - Electricity'!A1", "Electricity")</f>
        <v>Electricity</v>
      </c>
      <c r="D19" s="119" t="str">
        <v>g</v>
      </c>
      <c r="E19" s="124" t="str">
        <v>Greenhouse gas</v>
      </c>
      <c r="F19" s="125"/>
      <c r="G19" s="119" t="str">
        <v/>
      </c>
      <c r="H19" s="127" t="str">
        <v>Constant</v>
      </c>
      <c r="I19" s="126"/>
      <c r="J19" s="184"/>
      <c r="L19" s="184"/>
      <c r="M19" s="184"/>
      <c r="N19" s="184"/>
      <c r="O19" s="184"/>
      <c r="P19" s="184"/>
      <c r="Q19" s="184"/>
    </row>
    <row r="20" spans="1:17" ht="20.100000000000001" customHeight="1" x14ac:dyDescent="0.25">
      <c r="A20" s="5" t="str">
        <f>HYPERLINK("#'Input - Common farm inputs'!A1", "Common farm inputs")</f>
        <v>Common farm inputs</v>
      </c>
      <c r="D20" s="119" t="str">
        <v>1</v>
      </c>
      <c r="E20" s="124" t="str">
        <v>Scope 1</v>
      </c>
      <c r="F20" s="125"/>
      <c r="G20" s="119" t="str">
        <v/>
      </c>
      <c r="H20" s="127" t="str">
        <v>Constant</v>
      </c>
      <c r="I20" s="126"/>
      <c r="J20" s="184"/>
      <c r="L20" s="184"/>
      <c r="M20" s="184"/>
      <c r="N20" s="184"/>
      <c r="O20" s="184"/>
      <c r="P20" s="184"/>
      <c r="Q20" s="184"/>
    </row>
    <row r="21" spans="1:17" ht="20.100000000000001" customHeight="1" x14ac:dyDescent="0.25">
      <c r="A21" s="5" t="str">
        <f>HYPERLINK("#'Input - Crop pasture farm input'!A1", "Crop pasture farm input")</f>
        <v>Crop pasture farm input</v>
      </c>
      <c r="O21" s="184"/>
      <c r="P21" s="184"/>
      <c r="Q21" s="184"/>
    </row>
    <row r="22" spans="1:17" ht="20.100000000000001" customHeight="1" x14ac:dyDescent="0.25">
      <c r="A22" s="5" t="str">
        <f>HYPERLINK("#'Input - Livestock farm Inputs'!A1", "Livestock farm Inputs")</f>
        <v>Livestock farm Inputs</v>
      </c>
      <c r="D22" s="121" t="s">
        <v>890</v>
      </c>
    </row>
    <row r="23" spans="1:17" ht="20.100000000000001" customHeight="1" x14ac:dyDescent="0.25">
      <c r="A23" s="5" t="str">
        <f>HYPERLINK("#'Input - Freight'!A1", "Freight")</f>
        <v>Freight</v>
      </c>
      <c r="D23" s="122" t="s">
        <v>891</v>
      </c>
    </row>
    <row r="24" spans="1:17" ht="20.100000000000001" customHeight="1" x14ac:dyDescent="0.25">
      <c r="A24" s="5" t="str">
        <f>HYPERLINK("#'Input - Solid waste'!A1", "Solid waste")</f>
        <v>Solid waste</v>
      </c>
      <c r="D24" s="123" t="s">
        <v>892</v>
      </c>
      <c r="E24" s="123" t="s">
        <v>893</v>
      </c>
      <c r="F24" s="123" t="s">
        <v>894</v>
      </c>
      <c r="G24" s="123" t="s">
        <v>895</v>
      </c>
      <c r="H24" s="123" t="s">
        <v>896</v>
      </c>
      <c r="I24" s="123" t="s">
        <v>897</v>
      </c>
      <c r="J24" s="123" t="s">
        <v>898</v>
      </c>
      <c r="K24" s="123" t="s">
        <v>899</v>
      </c>
      <c r="L24" s="81" t="s">
        <v>900</v>
      </c>
      <c r="M24" s="123" t="s">
        <v>901</v>
      </c>
      <c r="N24" s="123" t="s">
        <v>902</v>
      </c>
      <c r="O24" s="123" t="s">
        <v>903</v>
      </c>
      <c r="P24" s="123" t="s">
        <v>904</v>
      </c>
      <c r="Q24" s="123" t="s">
        <v>905</v>
      </c>
    </row>
    <row r="25" spans="1:17" ht="20.100000000000001" customHeight="1" x14ac:dyDescent="0.25">
      <c r="A25" s="5" t="str">
        <f>HYPERLINK("#'Input - Manure sent off-site'!A1", "Manure sent off-site")</f>
        <v>Manure sent off-site</v>
      </c>
      <c r="D25" s="24" t="str">
        <f>Table_FuelTypesPerUse[[#Headers],[Cars and light commercial vehicles]]</f>
        <v>Cars and light commercial vehicles</v>
      </c>
      <c r="E25" s="208" t="str">
        <f>'Constants - Fuel'!$E$10</f>
        <v>Gasoline</v>
      </c>
      <c r="F25" s="208"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09" cm="1">
        <f t="array" ref="N25">Fuel_Equations.VEERG_8_1_1_1__1_FuelCombustionTransport($L25,$G25,$H25)</f>
        <v>0</v>
      </c>
      <c r="O25" s="209" cm="1">
        <f t="array" ref="O25">Fuel_Equations.VEERG_8_1_1_1__1_FuelCombustionTransport($L25,$G25,$I25)</f>
        <v>0</v>
      </c>
      <c r="P25" s="209" cm="1">
        <f t="array" ref="P25">Fuel_Equations.VEERG_8_1_1_1__1_FuelCombustionTransport($L25,$G25,$J25)</f>
        <v>0</v>
      </c>
      <c r="Q25" s="209" cm="1">
        <f t="array" ref="Q25">Scope3_Equations.VEERG_15_11_1_1__2_UpstreamTransportFuelEmissions(L25,G25,K25)</f>
        <v>0</v>
      </c>
    </row>
    <row r="26" spans="1:17" ht="20.100000000000001" customHeight="1" x14ac:dyDescent="0.25">
      <c r="A26" s="5" t="str">
        <f>HYPERLINK("#'Input - Data quality'!A1", "Data quality")</f>
        <v>Data quality</v>
      </c>
      <c r="D26" s="210" t="str">
        <f t="shared" ref="D26:D32" si="0">$D$25</f>
        <v>Cars and light commercial vehicles</v>
      </c>
      <c r="E26" s="208" t="str">
        <f>'Constants - Fuel'!$E$11</f>
        <v>Diesel oil</v>
      </c>
      <c r="F26" s="208"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87" cm="1">
        <f t="array" ref="L26">Fuel_InputFunctions.Fuel_TotalConsumption(Table_Input_Fuel[Amount consumed], Table_Input_Fuel[Fuel use (select)], D26, Table_Input_Fuel[Fuel type (select)],F26)</f>
        <v>10</v>
      </c>
      <c r="M26" s="187" t="str" cm="1">
        <f t="array" ref="M26">Common_InputFunctions.Utility_LookupValueInTable(F26,Table_FuelTypes_Units[Fuel type],Table_FuelTypes_Units[Unit])</f>
        <v>kL</v>
      </c>
      <c r="N26" s="209" cm="1">
        <f t="array" ref="N26">Fuel_Equations.VEERG_8_1_1_1__1_FuelCombustionTransport($L26,$G26,$H26)</f>
        <v>26.981400000000001</v>
      </c>
      <c r="O26" s="209" cm="1">
        <f t="array" ref="O26">Fuel_Equations.VEERG_8_1_1_1__1_FuelCombustionTransport($L26,$G26,$I26)</f>
        <v>3.8600000000000001E-3</v>
      </c>
      <c r="P26" s="209" cm="1">
        <f t="array" ref="P26">Fuel_Equations.VEERG_8_1_1_1__1_FuelCombustionTransport($L26,$G26,$J26)</f>
        <v>0.193</v>
      </c>
      <c r="Q26" s="209" cm="1">
        <f t="array" ref="Q26">Scope3_Equations.VEERG_15_11_1_1__2_UpstreamTransportFuelEmissions(L26,G26,K26)</f>
        <v>6.6778000000000004</v>
      </c>
    </row>
    <row r="27" spans="1:17" ht="20.100000000000001" customHeight="1" x14ac:dyDescent="0.25">
      <c r="D27" s="210" t="str">
        <f t="shared" si="0"/>
        <v>Cars and light commercial vehicles</v>
      </c>
      <c r="E27" s="208" t="str">
        <f>'Constants - Fuel'!$E$12</f>
        <v>Liquefied petroleum gas (LPG)</v>
      </c>
      <c r="F27" s="208"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09" cm="1">
        <f t="array" ref="N27">Fuel_Equations.VEERG_8_1_1_1__1_FuelCombustionTransport($L27,$G27,$H27)</f>
        <v>0</v>
      </c>
      <c r="O27" s="209" cm="1">
        <f t="array" ref="O27">Fuel_Equations.VEERG_8_1_1_1__1_FuelCombustionTransport($L27,$G27,$I27)</f>
        <v>0</v>
      </c>
      <c r="P27" s="209" cm="1">
        <f t="array" ref="P27">Fuel_Equations.VEERG_8_1_1_1__1_FuelCombustionTransport($L27,$G27,$J27)</f>
        <v>0</v>
      </c>
      <c r="Q27" s="209" cm="1">
        <f t="array" ref="Q27">Scope3_Equations.VEERG_15_11_1_1__2_UpstreamTransportFuelEmissions(L27,G27,K27)</f>
        <v>0</v>
      </c>
    </row>
    <row r="28" spans="1:17" ht="20.100000000000001" customHeight="1" x14ac:dyDescent="0.25">
      <c r="D28" s="210" t="str">
        <f t="shared" si="0"/>
        <v>Cars and light commercial vehicles</v>
      </c>
      <c r="E28" s="208" t="str">
        <f>'Constants - Fuel'!$E$13</f>
        <v>Fuel oil</v>
      </c>
      <c r="F28" s="208"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09" cm="1">
        <f t="array" ref="N28">Fuel_Equations.VEERG_8_1_1_1__1_FuelCombustionTransport($L28,$G28,$H28)</f>
        <v>0</v>
      </c>
      <c r="O28" s="209" cm="1">
        <f t="array" ref="O28">Fuel_Equations.VEERG_8_1_1_1__1_FuelCombustionTransport($L28,$G28,$I28)</f>
        <v>0</v>
      </c>
      <c r="P28" s="209" cm="1">
        <f t="array" ref="P28">Fuel_Equations.VEERG_8_1_1_1__1_FuelCombustionTransport($L28,$G28,$J28)</f>
        <v>0</v>
      </c>
      <c r="Q28" s="209" cm="1">
        <f t="array" ref="Q28">Scope3_Equations.VEERG_15_11_1_1__2_UpstreamTransportFuelEmissions(L28,G28,K28)</f>
        <v>0</v>
      </c>
    </row>
    <row r="29" spans="1:17" ht="20.100000000000001" customHeight="1" x14ac:dyDescent="0.25">
      <c r="A29" s="6" t="s">
        <v>2</v>
      </c>
      <c r="D29" s="210" t="str">
        <f t="shared" si="0"/>
        <v>Cars and light commercial vehicles</v>
      </c>
      <c r="E29" s="208" t="str">
        <f>'Constants - Fuel'!$E$14</f>
        <v>Ethanol</v>
      </c>
      <c r="F29" s="208"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09" cm="1">
        <f t="array" ref="N29">Fuel_Equations.VEERG_8_1_1_1__1_FuelCombustionTransport($L29,$G29,$H29)</f>
        <v>0</v>
      </c>
      <c r="O29" s="209" cm="1">
        <f t="array" ref="O29">Fuel_Equations.VEERG_8_1_1_1__1_FuelCombustionTransport($L29,$G29,$I29)</f>
        <v>0</v>
      </c>
      <c r="P29" s="209" cm="1">
        <f t="array" ref="P29">Fuel_Equations.VEERG_8_1_1_1__1_FuelCombustionTransport($L29,$G29,$J29)</f>
        <v>0</v>
      </c>
      <c r="Q29" s="209" cm="1">
        <f t="array" ref="Q29">Scope3_Equations.VEERG_15_11_1_1__2_UpstreamTransportFuelEmissions(L29,G29,IF(ISNUMBER(K29),K29,0))</f>
        <v>0</v>
      </c>
    </row>
    <row r="30" spans="1:17" ht="20.100000000000001" customHeight="1" x14ac:dyDescent="0.25">
      <c r="A30" s="5" t="str">
        <f>HYPERLINK("#'3.3.1.1-2 Enteric Methane'!A1", "3.3.1.1-2 Enteric methane")</f>
        <v>3.3.1.1-2 Enteric methane</v>
      </c>
      <c r="D30" s="210" t="str">
        <f t="shared" si="0"/>
        <v>Cars and light commercial vehicles</v>
      </c>
      <c r="E30" s="208" t="str">
        <f>'Constants - Fuel'!$E$15</f>
        <v>Biodiesel</v>
      </c>
      <c r="F30" s="208"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09" cm="1">
        <f t="array" ref="N30">Fuel_Equations.VEERG_8_1_1_1__1_FuelCombustionTransport($L30,$G30,$H30)</f>
        <v>0</v>
      </c>
      <c r="O30" s="209" cm="1">
        <f t="array" ref="O30">Fuel_Equations.VEERG_8_1_1_1__1_FuelCombustionTransport($L30,$G30,$I30)</f>
        <v>0</v>
      </c>
      <c r="P30" s="209" cm="1">
        <f t="array" ref="P30">Fuel_Equations.VEERG_8_1_1_1__1_FuelCombustionTransport($L30,$G30,$J30)</f>
        <v>0</v>
      </c>
      <c r="Q30" s="209" cm="1">
        <f t="array" ref="Q30">Scope3_Equations.VEERG_15_11_1_1__2_UpstreamTransportFuelEmissions(L30,G30,IF(ISNUMBER(K30),K30,0))</f>
        <v>0</v>
      </c>
    </row>
    <row r="31" spans="1:17" ht="20.100000000000001" customHeight="1" x14ac:dyDescent="0.25">
      <c r="A31" s="5" t="str">
        <f>HYPERLINK("#'4.3.1.1-2 Methane'!A1", "4.3.1.1-2 Manure methane")</f>
        <v>4.3.1.1-2 Manure methane</v>
      </c>
      <c r="D31" s="210" t="str">
        <f t="shared" si="0"/>
        <v>Cars and light commercial vehicles</v>
      </c>
      <c r="E31" s="208" t="str">
        <f>'Constants - Fuel'!$E$16</f>
        <v>Renewable diesel</v>
      </c>
      <c r="F31" s="208"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9" cm="1">
        <f t="array" ref="N31">Fuel_Equations.VEERG_8_1_1_1__1_FuelCombustionTransport($L31,$G31,$H31)</f>
        <v>0</v>
      </c>
      <c r="O31" s="209" cm="1">
        <f t="array" ref="O31">Fuel_Equations.VEERG_8_1_1_1__1_FuelCombustionTransport($L31,$G31,$I31)</f>
        <v>0</v>
      </c>
      <c r="P31" s="209" cm="1">
        <f t="array" ref="P31">Fuel_Equations.VEERG_8_1_1_1__1_FuelCombustionTransport($L31,$G31,$J31)</f>
        <v>0</v>
      </c>
      <c r="Q31" s="209" cm="1">
        <f t="array" ref="Q31">Scope3_Equations.VEERG_15_11_1_1__2_UpstreamTransportFuelEmissions(L31,G31,IF(ISNUMBER(K31),K31,0))</f>
        <v>0</v>
      </c>
    </row>
    <row r="32" spans="1:17" ht="20.100000000000001" customHeight="1" x14ac:dyDescent="0.25">
      <c r="A32" s="5" t="str">
        <f>HYPERLINK("#'4.3.1.3-4 Direct N20'!A1", "4.3.1.3-4 Direct N20")</f>
        <v>4.3.1.3-4 Direct N20</v>
      </c>
      <c r="D32" s="210" t="str">
        <f t="shared" si="0"/>
        <v>Cars and light commercial vehicles</v>
      </c>
      <c r="E32" s="208" t="str">
        <f>'Constants - Fuel'!$E$17</f>
        <v>Other biofuels</v>
      </c>
      <c r="F32" s="208"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206" t="str" cm="1">
        <f t="array" ref="K32">IFERROR(_xlfn.XLOOKUP(1, (Table_Fuel_EFs_Transport[Fuel combusted]=$E32)*(Table_Fuel_EFs_Transport[Transport type]=$D$25), Table_Fuel_EFs_Transport[Scope 3 Emission Factor (kg CO2 - e / GJ)]), 0)</f>
        <v>NE</v>
      </c>
      <c r="L32" s="211" cm="1">
        <f t="array" ref="L32">Fuel_InputFunctions.Fuel_TotalConsumption(Table_Input_Fuel[Amount consumed], Table_Input_Fuel[Fuel use (select)], D32, Table_Input_Fuel[Fuel type (select)],F32)</f>
        <v>0</v>
      </c>
      <c r="M32" s="187" t="str" cm="1">
        <f t="array" ref="M32">Common_InputFunctions.Utility_LookupValueInTable(F32,Table_FuelTypes_Units[Fuel type],Table_FuelTypes_Units[Unit])</f>
        <v>kL</v>
      </c>
      <c r="N32" s="212" cm="1">
        <f t="array" ref="N32">Fuel_Equations.VEERG_8_1_1_1__1_FuelCombustionTransport($L32,$G32,$H32)</f>
        <v>0</v>
      </c>
      <c r="O32" s="212" cm="1">
        <f t="array" ref="O32">Fuel_Equations.VEERG_8_1_1_1__1_FuelCombustionTransport($L32,$G32,$I32)</f>
        <v>0</v>
      </c>
      <c r="P32" s="212" cm="1">
        <f t="array" ref="P32">Fuel_Equations.VEERG_8_1_1_1__1_FuelCombustionTransport($L32,$G32,$J32)</f>
        <v>0</v>
      </c>
      <c r="Q32" s="209" cm="1">
        <f t="array" ref="Q32">Scope3_Equations.VEERG_15_11_1_1__2_UpstreamTransportFuelEmissions(L32,G32,IF(ISNUMBER(K32),K32,0))</f>
        <v>0</v>
      </c>
    </row>
    <row r="33" spans="1:17" ht="20.100000000000001" customHeight="1" x14ac:dyDescent="0.25">
      <c r="A33" s="5" t="str">
        <f>HYPERLINK("#'4.3.1.5 Atmos deposition'!A1", "4.3.1.5 Atmos deposition")</f>
        <v>4.3.1.5 Atmos deposition</v>
      </c>
      <c r="D33" s="213" t="str">
        <f>Table_FuelTypesPerUse[[#Headers],[Off-road Agriculture and forestry equipment]]</f>
        <v>Off-road Agriculture and forestry equipment</v>
      </c>
      <c r="E33" s="214" t="str">
        <f>'Constants - Fuel'!$E$11</f>
        <v>Diesel oil</v>
      </c>
      <c r="F33" s="214" t="str">
        <f>'Constants - Fuel'!H131</f>
        <v>Diesel</v>
      </c>
      <c r="G33" s="215" cm="1">
        <f t="array" ref="G33">IFERROR(_xlfn.XLOOKUP(1, (Table_Fuel_EFs_Transport[Fuel combusted]=$E33)*(Table_Fuel_EFs_Transport[Transport type]=$D$33), Table_Fuel_EFs_Transport[Energy Content Factor (GJ per unit of fuel)]), 0)</f>
        <v>38.6</v>
      </c>
      <c r="H33" s="215" cm="1">
        <f t="array" ref="H33">IFERROR(_xlfn.XLOOKUP(1, (Table_Fuel_EFs_Transport[Fuel combusted]=$E33)*(Table_Fuel_EFs_Transport[Transport type]=$D$33), Table_Fuel_EFs_Transport[Scope 1 Emission Factor (kg CO2 - e / GJ) CO2]), 0)</f>
        <v>69.900000000000006</v>
      </c>
      <c r="I33" s="215" cm="1">
        <f t="array" ref="I33">IFERROR(_xlfn.XLOOKUP(1, (Table_Fuel_EFs_Transport[Fuel combusted]=$E33)*(Table_Fuel_EFs_Transport[Transport type]=$D$33), Table_Fuel_EFs_Transport[Scope 1 Emission Factor (kg CO2 - e / GJ) CH4]), 0)</f>
        <v>0.3</v>
      </c>
      <c r="J33" s="215" cm="1">
        <f t="array" ref="J33">IFERROR(_xlfn.XLOOKUP(1, (Table_Fuel_EFs_Transport[Fuel combusted]=$E33)*(Table_Fuel_EFs_Transport[Transport type]=$D$33), Table_Fuel_EFs_Transport[Scope 1 Emission Factor (kg CO2 - e / GJ) N2O]), 0)</f>
        <v>0.5</v>
      </c>
      <c r="K33" s="216" cm="1">
        <f t="array" ref="K33">IFERROR(_xlfn.XLOOKUP(1, (Table_Fuel_EFs_Transport[Fuel combusted]=$E33)*(Table_Fuel_EFs_Transport[Transport type]=$D$25), Table_Fuel_EFs_Transport[Scope 3 Emission Factor (kg CO2 - e / GJ)]), 0)</f>
        <v>17.3</v>
      </c>
      <c r="L33" s="217" cm="1">
        <f t="array" ref="L33">Fuel_InputFunctions.Fuel_TotalConsumption(Table_Input_Fuel[Amount consumed], Table_Input_Fuel[Fuel use (select)], D33, Table_Input_Fuel[Fuel type (select)],F33)</f>
        <v>10</v>
      </c>
      <c r="M33" s="218" t="str" cm="1">
        <f t="array" ref="M33">Common_InputFunctions.Utility_LookupValueInTable(F33,Table_FuelTypes_Units[Fuel type],Table_FuelTypes_Units[Unit])</f>
        <v>kL</v>
      </c>
      <c r="N33" s="219" cm="1">
        <f t="array" ref="N33">Fuel_Equations.VEERG_8_1_1_1__1_FuelCombustionTransport($L33,$G33,$H33)</f>
        <v>26.981400000000001</v>
      </c>
      <c r="O33" s="219" cm="1">
        <f t="array" ref="O33">Fuel_Equations.VEERG_8_1_1_1__1_FuelCombustionTransport($L33,$G33,$I33)</f>
        <v>0.1158</v>
      </c>
      <c r="P33" s="219" cm="1">
        <f t="array" ref="P33">Fuel_Equations.VEERG_8_1_1_1__1_FuelCombustionTransport($L33,$G33,$J33)</f>
        <v>0.193</v>
      </c>
      <c r="Q33" s="220" cm="1">
        <f t="array" ref="Q33">Scope3_Equations.VEERG_15_11_1_1__2_UpstreamTransportFuelEmissions(L33,G33,K33)</f>
        <v>6.6778000000000004</v>
      </c>
    </row>
    <row r="34" spans="1:17" ht="20.100000000000001" customHeight="1" x14ac:dyDescent="0.25">
      <c r="A34" s="5" t="str">
        <f>HYPERLINK("#'4.3.1.6-7 Leaching and runoff'!A1", "4.3.1.6-7 Leaching &amp; runoff")</f>
        <v>4.3.1.6-7 Leaching &amp; runoff</v>
      </c>
      <c r="D34" s="213" t="str">
        <f>Table_FuelTypesPerUse[[#Headers],[Aviation]]</f>
        <v>Aviation</v>
      </c>
      <c r="E34" s="214" t="str">
        <f>'Constants - Fuel'!$E$28</f>
        <v>Gasoline for use as fuel in an aircraft</v>
      </c>
      <c r="F34" s="214" t="str">
        <f>'Constants - Fuel'!$F$131</f>
        <v>Avgas</v>
      </c>
      <c r="G34" s="221" cm="1">
        <f t="array" ref="G34">IFERROR(_xlfn.XLOOKUP(1, (Table_Fuel_EFs_Transport[Fuel combusted]=$E34)*(Table_Fuel_EFs_Transport[Transport type]=$D$34), Table_Fuel_EFs_Transport[Energy Content Factor (GJ per unit of fuel)]), 0)</f>
        <v>33.1</v>
      </c>
      <c r="H34" s="221" cm="1">
        <f t="array" ref="H34">IFERROR(_xlfn.XLOOKUP(1, (Table_Fuel_EFs_Transport[Fuel combusted]=$E34)*(Table_Fuel_EFs_Transport[Transport type]=$D$34), Table_Fuel_EFs_Transport[Scope 1 Emission Factor (kg CO2 - e / GJ) CO2]), 0)</f>
        <v>67</v>
      </c>
      <c r="I34" s="221" cm="1">
        <f t="array" ref="I34">IFERROR(_xlfn.XLOOKUP(1, (Table_Fuel_EFs_Transport[Fuel combusted]=$E34)*(Table_Fuel_EFs_Transport[Transport type]=$D$34), Table_Fuel_EFs_Transport[Scope 1 Emission Factor (kg CO2 - e / GJ) CH4]), 0)</f>
        <v>0.06</v>
      </c>
      <c r="J34" s="221" cm="1">
        <f t="array" ref="J34">IFERROR(_xlfn.XLOOKUP(1, (Table_Fuel_EFs_Transport[Fuel combusted]=$E34)*(Table_Fuel_EFs_Transport[Transport type]=$D$34), Table_Fuel_EFs_Transport[Scope 1 Emission Factor (kg CO2 - e / GJ) N2O]), 0)</f>
        <v>0.6</v>
      </c>
      <c r="K34" s="221" cm="1">
        <f t="array" ref="K34">IFERROR(_xlfn.XLOOKUP(1, (Table_Fuel_EFs_Transport[Fuel combusted]=$E34)*(Table_Fuel_EFs_Transport[Transport type]=$D$25), Table_Fuel_EFs_Transport[Scope 3 Emission Factor (kg CO2 - e / GJ)]), 0)</f>
        <v>0</v>
      </c>
      <c r="L34" s="218" cm="1">
        <f t="array" ref="L34">Fuel_InputFunctions.Fuel_TotalConsumption(Table_Input_Fuel[Amount consumed], Table_Input_Fuel[Fuel use (select)], D34, Table_Input_Fuel[Fuel type (select)],F34)</f>
        <v>0</v>
      </c>
      <c r="M34" s="218" t="str" cm="1">
        <f t="array" ref="M34">Common_InputFunctions.Utility_LookupValueInTable(F34,Table_FuelTypes_Units[Fuel type],Table_FuelTypes_Units[Unit])</f>
        <v>kL</v>
      </c>
      <c r="N34" s="219" cm="1">
        <f t="array" ref="N34">Fuel_Equations.VEERG_8_1_1_1__1_FuelCombustionTransport($L34,$G34,$H34)</f>
        <v>0</v>
      </c>
      <c r="O34" s="219" cm="1">
        <f t="array" ref="O34">Fuel_Equations.VEERG_8_1_1_1__1_FuelCombustionTransport($L34,$G34,$I34)</f>
        <v>0</v>
      </c>
      <c r="P34" s="219" cm="1">
        <f t="array" ref="P34">Fuel_Equations.VEERG_8_1_1_1__1_FuelCombustionTransport($L34,$G34,$J34)</f>
        <v>0</v>
      </c>
      <c r="Q34" s="219" cm="1">
        <f t="array" ref="Q34">Scope3_Equations.VEERG_15_11_1_1__2_UpstreamTransportFuelEmissions(L34,G34,K34)</f>
        <v>0</v>
      </c>
    </row>
    <row r="35" spans="1:17" ht="20.100000000000001" customHeight="1" x14ac:dyDescent="0.25">
      <c r="A35" s="5" t="str">
        <f>HYPERLINK("#'4.3.1.8 Manure applied to soils'!A1", "4.3.1.8 Manure applied to soils")</f>
        <v>4.3.1.8 Manure applied to soils</v>
      </c>
      <c r="D35" s="210" t="str">
        <f>$D$34</f>
        <v>Aviation</v>
      </c>
      <c r="E35" s="208" t="str">
        <f>'Constants - Fuel'!$E$29</f>
        <v>Kerosene for use as fuel in an aircraft</v>
      </c>
      <c r="F35" s="208"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87" cm="1">
        <f t="array" ref="L35">Fuel_InputFunctions.Fuel_TotalConsumption(Table_Input_Fuel[Amount consumed], Table_Input_Fuel[Fuel use (select)], D35, Table_Input_Fuel[Fuel type (select)],F35)</f>
        <v>0</v>
      </c>
      <c r="M35" s="187" t="str" cm="1">
        <f t="array" ref="M35">Common_InputFunctions.Utility_LookupValueInTable(F35,Table_FuelTypes_Units[Fuel type],Table_FuelTypes_Units[Unit])</f>
        <v>kL</v>
      </c>
      <c r="N35" s="209" cm="1">
        <f t="array" ref="N35">Fuel_Equations.VEERG_8_1_1_1__1_FuelCombustionTransport($L35,$G35,$H35)</f>
        <v>0</v>
      </c>
      <c r="O35" s="209" cm="1">
        <f t="array" ref="O35">Fuel_Equations.VEERG_8_1_1_1__1_FuelCombustionTransport($L35,$G35,$I35)</f>
        <v>0</v>
      </c>
      <c r="P35" s="209" cm="1">
        <f t="array" ref="P35">Fuel_Equations.VEERG_8_1_1_1__1_FuelCombustionTransport($L35,$G35,$J35)</f>
        <v>0</v>
      </c>
      <c r="Q35" s="209" cm="1">
        <f t="array" ref="Q35">Scope3_Equations.VEERG_15_11_1_1__2_UpstreamTransportFuelEmissions(L35,G35,K35)</f>
        <v>0</v>
      </c>
    </row>
    <row r="36" spans="1:17" ht="20.100000000000001" customHeight="1" x14ac:dyDescent="0.25">
      <c r="A36" s="5" t="str">
        <f>HYPERLINK("#'4.3.1.9 Soil direct N2O'!A1", "4.3.1.9 Soil direct N2O")</f>
        <v>4.3.1.9 Soil direct N2O</v>
      </c>
      <c r="D36" s="210" t="str">
        <f>$D$34</f>
        <v>Aviation</v>
      </c>
      <c r="E36" s="208" t="str">
        <f>'Constants - Fuel'!$E$30</f>
        <v>Renewable aviation kerosene</v>
      </c>
      <c r="F36" s="208" t="str">
        <f>'Constants - Fuel'!$F$133</f>
        <v>Renewable aviation kerosene</v>
      </c>
      <c r="G36" s="206" cm="1">
        <f t="array" ref="G36">IFERROR(_xlfn.XLOOKUP(1, (Table_Fuel_EFs_Transport[Fuel combusted]=$E36)*(Table_Fuel_EFs_Transport[Transport type]=$D$34), Table_Fuel_EFs_Transport[Energy Content Factor (GJ per unit of fuel)]), 0)</f>
        <v>36.799999999999997</v>
      </c>
      <c r="H36" s="206" cm="1">
        <f t="array" ref="H36">IFERROR(_xlfn.XLOOKUP(1, (Table_Fuel_EFs_Transport[Fuel combusted]=$E36)*(Table_Fuel_EFs_Transport[Transport type]=$D$34), Table_Fuel_EFs_Transport[Scope 1 Emission Factor (kg CO2 - e / GJ) CO2]), 0)</f>
        <v>0</v>
      </c>
      <c r="I36" s="206" cm="1">
        <f t="array" ref="I36">IFERROR(_xlfn.XLOOKUP(1, (Table_Fuel_EFs_Transport[Fuel combusted]=$E36)*(Table_Fuel_EFs_Transport[Transport type]=$D$34), Table_Fuel_EFs_Transport[Scope 1 Emission Factor (kg CO2 - e / GJ) CH4]), 0)</f>
        <v>0.01</v>
      </c>
      <c r="J36" s="206" cm="1">
        <f t="array" ref="J36">IFERROR(_xlfn.XLOOKUP(1, (Table_Fuel_EFs_Transport[Fuel combusted]=$E36)*(Table_Fuel_EFs_Transport[Transport type]=$D$34), Table_Fuel_EFs_Transport[Scope 1 Emission Factor (kg CO2 - e / GJ) N2O]), 0)</f>
        <v>0.6</v>
      </c>
      <c r="K36" s="206" cm="1">
        <f t="array" ref="K36">IFERROR(_xlfn.XLOOKUP(1, (Table_Fuel_EFs_Transport[Fuel combusted]=$E36)*(Table_Fuel_EFs_Transport[Transport type]=$D$25), Table_Fuel_EFs_Transport[Scope 3 Emission Factor (kg CO2 - e / GJ)]), 0)</f>
        <v>0</v>
      </c>
      <c r="L36" s="211" cm="1">
        <f t="array" ref="L36">Fuel_InputFunctions.Fuel_TotalConsumption(Table_Input_Fuel[Amount consumed], Table_Input_Fuel[Fuel use (select)], D36, Table_Input_Fuel[Fuel type (select)],F36)</f>
        <v>0</v>
      </c>
      <c r="M36" s="187" t="str" cm="1">
        <f t="array" ref="M36">Common_InputFunctions.Utility_LookupValueInTable(F36,Table_FuelTypes_Units[Fuel type],Table_FuelTypes_Units[Unit])</f>
        <v>kL</v>
      </c>
      <c r="N36" s="209" cm="1">
        <f t="array" ref="N36">Fuel_Equations.VEERG_8_1_1_1__1_FuelCombustionTransport($L36,$G36,$H36)</f>
        <v>0</v>
      </c>
      <c r="O36" s="209" cm="1">
        <f t="array" ref="O36">Fuel_Equations.VEERG_8_1_1_1__1_FuelCombustionTransport($L36,$G36,$I36)</f>
        <v>0</v>
      </c>
      <c r="P36" s="209" cm="1">
        <f t="array" ref="P36">Fuel_Equations.VEERG_8_1_1_1__1_FuelCombustionTransport($L36,$G36,$J36)</f>
        <v>0</v>
      </c>
      <c r="Q36" s="212" cm="1">
        <f t="array" ref="Q36">Scope3_Equations.VEERG_15_11_1_1__2_UpstreamTransportFuelEmissions(L36,G36,K36)</f>
        <v>0</v>
      </c>
    </row>
    <row r="37" spans="1:17" ht="20.100000000000001" customHeight="1" x14ac:dyDescent="0.25">
      <c r="A37" s="5" t="str">
        <f>HYPERLINK("#'4.3.1.10-11 Soil Atmos Dep'!A1", "4.3.1.10-11 Soil Atmos Deposition")</f>
        <v>4.3.1.10-11 Soil Atmos Deposition</v>
      </c>
      <c r="D37" s="213" t="str">
        <f>Table_FuelTypesPerUse[[#Headers],[Vessels]]</f>
        <v>Vessels</v>
      </c>
      <c r="E37" s="214" t="str">
        <f>'Constants - Fuel'!$E$10</f>
        <v>Gasoline</v>
      </c>
      <c r="F37" s="214" t="str">
        <f>'Constants - Fuel'!$I$131</f>
        <v>Petrol</v>
      </c>
      <c r="G37" s="221" cm="1">
        <f t="array" ref="G37">IFERROR(_xlfn.XLOOKUP(1, (Table_Fuel_EFs_Transport[Fuel combusted]=$E37)*(Table_Fuel_EFs_Transport[Transport type]=$D$37), Table_Fuel_EFs_Transport[Energy Content Factor (GJ per unit of fuel)]), 0)</f>
        <v>34.200000000000003</v>
      </c>
      <c r="H37" s="221" cm="1">
        <f t="array" ref="H37">IFERROR(_xlfn.XLOOKUP(1, (Table_Fuel_EFs_Transport[Fuel combusted]=$E37)*(Table_Fuel_EFs_Transport[Transport type]=$D$37), Table_Fuel_EFs_Transport[Scope 1 Emission Factor (kg CO2 - e / GJ) CO2]), 0)</f>
        <v>67.400000000000006</v>
      </c>
      <c r="I37" s="221" cm="1">
        <f t="array" ref="I37">IFERROR(_xlfn.XLOOKUP(1, (Table_Fuel_EFs_Transport[Fuel combusted]=$E37)*(Table_Fuel_EFs_Transport[Transport type]=$D$37), Table_Fuel_EFs_Transport[Scope 1 Emission Factor (kg CO2 - e / GJ) CH4]), 0)</f>
        <v>10.1</v>
      </c>
      <c r="J37" s="221" cm="1">
        <f t="array" ref="J37">IFERROR(_xlfn.XLOOKUP(1, (Table_Fuel_EFs_Transport[Fuel combusted]=$E37)*(Table_Fuel_EFs_Transport[Transport type]=$D$37), Table_Fuel_EFs_Transport[Scope 1 Emission Factor (kg CO2 - e / GJ) N2O]), 0)</f>
        <v>0.3</v>
      </c>
      <c r="K37" s="221" cm="1">
        <f t="array" ref="K37">IFERROR(_xlfn.XLOOKUP(1, (Table_Fuel_EFs_Transport[Fuel combusted]=$E37)*(Table_Fuel_EFs_Transport[Transport type]=$D$25), Table_Fuel_EFs_Transport[Scope 3 Emission Factor (kg CO2 - e / GJ)]), 0)</f>
        <v>17.2</v>
      </c>
      <c r="L37" s="218" cm="1">
        <f t="array" ref="L37">Fuel_InputFunctions.Fuel_TotalConsumption(Table_Input_Fuel[Amount consumed], Table_Input_Fuel[Fuel use (select)], D37, Table_Input_Fuel[Fuel type (select)],F37)</f>
        <v>0</v>
      </c>
      <c r="M37" s="222" t="str" cm="1">
        <f t="array" ref="M37">Common_InputFunctions.Utility_LookupValueInTable(F37,Table_FuelTypes_Units[Fuel type],Table_FuelTypes_Units[Unit])</f>
        <v>kL</v>
      </c>
      <c r="N37" s="219" cm="1">
        <f t="array" ref="N37">Fuel_Equations.VEERG_8_1_1_1__1_FuelCombustionTransport($L37,$G37,$H37)</f>
        <v>0</v>
      </c>
      <c r="O37" s="219" cm="1">
        <f t="array" ref="O37">Fuel_Equations.VEERG_8_1_1_1__1_FuelCombustionTransport($L37,$G37,$I37)</f>
        <v>0</v>
      </c>
      <c r="P37" s="219" cm="1">
        <f t="array" ref="P37">Fuel_Equations.VEERG_8_1_1_1__1_FuelCombustionTransport($L37,$G37,$J37)</f>
        <v>0</v>
      </c>
      <c r="Q37" s="219" cm="1">
        <f t="array" ref="Q37">Scope3_Equations.VEERG_15_11_1_1__2_UpstreamTransportFuelEmissions(L37,G37,K37)</f>
        <v>0</v>
      </c>
    </row>
    <row r="38" spans="1:17" ht="20.100000000000001" customHeight="1" x14ac:dyDescent="0.25">
      <c r="A38" s="5" t="str">
        <f>HYPERLINK("#'4.3.1.12-13 Soil leach runoff'!A1", "4.3.1.12-13 Soil leach &amp; runoff")</f>
        <v>4.3.1.12-13 Soil leach &amp; runoff</v>
      </c>
      <c r="D38" s="210" t="str">
        <f>$D$37</f>
        <v>Vessels</v>
      </c>
      <c r="E38" s="208" t="str">
        <f>'Constants - Fuel'!$E$11</f>
        <v>Diesel oil</v>
      </c>
      <c r="F38" s="208"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87" cm="1">
        <f t="array" ref="L38">Fuel_InputFunctions.Fuel_TotalConsumption(Table_Input_Fuel[Amount consumed], Table_Input_Fuel[Fuel use (select)], D38, Table_Input_Fuel[Fuel type (select)],F38)</f>
        <v>0</v>
      </c>
      <c r="M38" s="187" t="str" cm="1">
        <f t="array" ref="M38">Common_InputFunctions.Utility_LookupValueInTable(F38,Table_FuelTypes_Units[Fuel type],Table_FuelTypes_Units[Unit])</f>
        <v>kL</v>
      </c>
      <c r="N38" s="209" cm="1">
        <f t="array" ref="N38">Fuel_Equations.VEERG_8_1_1_1__1_FuelCombustionTransport($L38,$G38,$H38)</f>
        <v>0</v>
      </c>
      <c r="O38" s="209" cm="1">
        <f t="array" ref="O38">Fuel_Equations.VEERG_8_1_1_1__1_FuelCombustionTransport($L38,$G38,$I38)</f>
        <v>0</v>
      </c>
      <c r="P38" s="209" cm="1">
        <f t="array" ref="P38">Fuel_Equations.VEERG_8_1_1_1__1_FuelCombustionTransport($L38,$G38,$J38)</f>
        <v>0</v>
      </c>
      <c r="Q38" s="209" cm="1">
        <f t="array" ref="Q38">Scope3_Equations.VEERG_15_11_1_1__2_UpstreamTransportFuelEmissions(L38,G38,K38)</f>
        <v>0</v>
      </c>
    </row>
    <row r="39" spans="1:17" ht="20.100000000000001" customHeight="1" x14ac:dyDescent="0.25">
      <c r="A39" s="5" t="str">
        <f>HYPERLINK("#'5.1.1.1-2 Inorganic fert N2O'!A1", "5.1.1.1-2 Inorganic fert N2O")</f>
        <v>5.1.1.1-2 Inorganic fert N2O</v>
      </c>
      <c r="D39" s="210" t="str">
        <f>$D$37</f>
        <v>Vessels</v>
      </c>
      <c r="E39" s="208" t="str">
        <f>'Constants - Fuel'!E33</f>
        <v>Fuel Oil</v>
      </c>
      <c r="F39" s="208"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87" cm="1">
        <f t="array" ref="L39">Fuel_InputFunctions.Fuel_TotalConsumption(Table_Input_Fuel[Amount consumed], Table_Input_Fuel[Fuel use (select)], D39, Table_Input_Fuel[Fuel type (select)],F39)</f>
        <v>10</v>
      </c>
      <c r="M39" s="187" t="str" cm="1">
        <f t="array" ref="M39">Common_InputFunctions.Utility_LookupValueInTable(F39,Table_FuelTypes_Units[Fuel type],Table_FuelTypes_Units[Unit])</f>
        <v>kL</v>
      </c>
      <c r="N39" s="209" cm="1">
        <f t="array" ref="N39">Fuel_Equations.VEERG_8_1_1_1__1_FuelCombustionTransport($L39,$G39,$H39)</f>
        <v>29.219199999999997</v>
      </c>
      <c r="O39" s="209" cm="1">
        <f t="array" ref="O39">Fuel_Equations.VEERG_8_1_1_1__1_FuelCombustionTransport($L39,$G39,$I39)</f>
        <v>7.9400000000000012E-2</v>
      </c>
      <c r="P39" s="209" cm="1">
        <f t="array" ref="P39">Fuel_Equations.VEERG_8_1_1_1__1_FuelCombustionTransport($L39,$G39,$J39)</f>
        <v>0.19850000000000001</v>
      </c>
      <c r="Q39" s="209" cm="1">
        <f t="array" ref="Q39">Scope3_Equations.VEERG_15_11_1_1__2_UpstreamTransportFuelEmissions(L39,G39,K39)</f>
        <v>7.1459999999999999</v>
      </c>
    </row>
    <row r="40" spans="1:17" ht="20.100000000000001" customHeight="1" x14ac:dyDescent="0.25">
      <c r="A40" s="5" t="str">
        <f>HYPERLINK("#'5.1.1.3-4 Inorganic fert CO2'!A1", "5.1.1.3-4 Inorganic fert CO2")</f>
        <v>5.1.1.3-4 Inorganic fert CO2</v>
      </c>
      <c r="H40" s="184"/>
      <c r="I40" s="184"/>
      <c r="J40" s="184"/>
      <c r="L40" s="184"/>
      <c r="M40" s="184"/>
      <c r="N40" s="184"/>
      <c r="O40" s="184"/>
      <c r="P40" s="184"/>
      <c r="Q40" s="184"/>
    </row>
    <row r="41" spans="1:17" ht="20.100000000000001" customHeight="1" x14ac:dyDescent="0.25">
      <c r="A41" s="5" t="str">
        <f>HYPERLINK("#'5.2.1.1-2 Organic Fert N2O'!A1", "5.2.1.1-2 Organic fert N2O")</f>
        <v>5.2.1.1-2 Organic fert N2O</v>
      </c>
      <c r="H41" s="184"/>
      <c r="I41" s="184"/>
      <c r="J41" s="184"/>
      <c r="L41" s="184"/>
      <c r="M41" s="184"/>
      <c r="N41" s="184"/>
      <c r="O41" s="184"/>
      <c r="P41" s="184"/>
      <c r="Q41" s="184"/>
    </row>
    <row r="42" spans="1:17" ht="20.100000000000001" customHeight="1" x14ac:dyDescent="0.25">
      <c r="A42" s="5" t="str">
        <f>HYPERLINK("#'5.3.1.1-2 Lime CO2'!A1", "5.3.1.1-2 Lime CO2")</f>
        <v>5.3.1.1-2 Lime CO2</v>
      </c>
      <c r="D42" s="223" t="str">
        <f>"Total scope 1 - " &amp; D25</f>
        <v>Total scope 1 - Cars and light commercial vehicles</v>
      </c>
      <c r="E42" s="224"/>
      <c r="F42" s="225"/>
    </row>
    <row r="43" spans="1:17" ht="20.100000000000001" customHeight="1" x14ac:dyDescent="0.25">
      <c r="A43" s="5" t="str">
        <f>HYPERLINK("#'5.4.1.1-4 Atmos deposition'!A1", "5.4.1.1-4 Atmos. deposition")</f>
        <v>5.4.1.1-4 Atmos. deposition</v>
      </c>
      <c r="D43" s="24" t="s">
        <v>906</v>
      </c>
      <c r="E43" s="226">
        <f>SUM(N25:N32)+N("Partial sum")</f>
        <v>26.981400000000001</v>
      </c>
      <c r="F43" s="16" t="str">
        <f>$E$12</f>
        <v>t CO2-e</v>
      </c>
    </row>
    <row r="44" spans="1:17" ht="20.100000000000001" customHeight="1" x14ac:dyDescent="0.25">
      <c r="A44" s="5" t="str">
        <f>HYPERLINK("#'5.5.1.1-2 Leaching and runoff'!A1", "5.5.1.1-2 Leaching &amp; runoff")</f>
        <v>5.5.1.1-2 Leaching &amp; runoff</v>
      </c>
      <c r="D44" s="24" t="s">
        <v>907</v>
      </c>
      <c r="E44" s="226">
        <f>SUM(O25:O32)+N("Partial sum")</f>
        <v>3.8600000000000001E-3</v>
      </c>
      <c r="F44" s="16" t="str">
        <f t="shared" ref="F44:F46" si="1">$E$12</f>
        <v>t CO2-e</v>
      </c>
    </row>
    <row r="45" spans="1:17" ht="20.100000000000001" customHeight="1" x14ac:dyDescent="0.25">
      <c r="A45" s="5" t="str">
        <f>HYPERLINK("#'6.2.1.1-2 Pasture residue N2O'!A1", "6.2.1.1-2 Pasture residue N2O")</f>
        <v>6.2.1.1-2 Pasture residue N2O</v>
      </c>
      <c r="D45" s="24" t="s">
        <v>908</v>
      </c>
      <c r="E45" s="226">
        <f>SUM(P25:P32)+N("Partial sum")</f>
        <v>0.193</v>
      </c>
      <c r="F45" s="16" t="str">
        <f t="shared" si="1"/>
        <v>t CO2-e</v>
      </c>
    </row>
    <row r="46" spans="1:17" ht="20.100000000000001" customHeight="1" x14ac:dyDescent="0.25">
      <c r="A46" s="5" t="str">
        <f>HYPERLINK("#'6.3.1.1-2 Leach runoff pasture'!A1", "6.3.1.1-2 Leach &amp; runoff (pasture)")</f>
        <v>6.3.1.1-2 Leach &amp; runoff (pasture)</v>
      </c>
      <c r="D46" s="24" t="s">
        <v>251</v>
      </c>
      <c r="E46" s="226">
        <f>SUM(Q25:Q32)+N("Partial sum")</f>
        <v>6.6778000000000004</v>
      </c>
      <c r="F46" s="16" t="str">
        <f t="shared" si="1"/>
        <v>t CO2-e</v>
      </c>
    </row>
    <row r="47" spans="1:17" ht="20.100000000000001" customHeight="1" x14ac:dyDescent="0.25">
      <c r="A47" s="118" t="str">
        <f>HYPERLINK("#'8.1.1.1-2 Transport fuel'!A1", "8.1.1.1-2 Transport fuel")</f>
        <v>8.1.1.1-2 Transport fuel</v>
      </c>
      <c r="D47" s="184"/>
      <c r="E47" s="184"/>
      <c r="F47" s="184"/>
    </row>
    <row r="48" spans="1:17" ht="20.100000000000001" customHeight="1" x14ac:dyDescent="0.25">
      <c r="A48" s="5" t="str">
        <f>HYPERLINK("#'8.2.1.1-2 Stationary fuel'!A1", "8.2.1.1-2 Stationary fuel")</f>
        <v>8.2.1.1-2 Stationary fuel</v>
      </c>
      <c r="D48" s="223" t="str">
        <f>"Total scope 1 - " &amp; D33</f>
        <v>Total scope 1 - Off-road Agriculture and forestry equipment</v>
      </c>
      <c r="E48" s="227"/>
      <c r="F48" s="225"/>
      <c r="H48" s="184"/>
      <c r="I48" s="184"/>
      <c r="J48" s="184"/>
      <c r="L48" s="184"/>
      <c r="M48" s="184"/>
      <c r="N48" s="184"/>
      <c r="O48" s="184"/>
      <c r="P48" s="184"/>
      <c r="Q48" s="184"/>
    </row>
    <row r="49" spans="1:17" ht="20.100000000000001" customHeight="1" x14ac:dyDescent="0.25">
      <c r="A49" s="5" t="str">
        <f>HYPERLINK("#'10.1.1-2 Solid waste treatment'!A1", "10.1.1.1-2 Solid waste")</f>
        <v>10.1.1.1-2 Solid waste</v>
      </c>
      <c r="D49" s="24" t="s">
        <v>906</v>
      </c>
      <c r="E49" s="226">
        <f>SUM(N33:N33)+N("Partial sum")</f>
        <v>26.981400000000001</v>
      </c>
      <c r="F49" s="16" t="str">
        <f t="shared" ref="F49:F52" si="2">$E$12</f>
        <v>t CO2-e</v>
      </c>
      <c r="H49" s="184"/>
      <c r="I49" s="184"/>
      <c r="J49" s="184"/>
      <c r="L49" s="184"/>
      <c r="M49" s="184"/>
      <c r="N49" s="184"/>
      <c r="O49" s="184"/>
      <c r="P49" s="184"/>
      <c r="Q49" s="184"/>
    </row>
    <row r="50" spans="1:17" ht="20.100000000000001" customHeight="1" x14ac:dyDescent="0.25">
      <c r="A50" s="5" t="str">
        <f>HYPERLINK("#'14.1.1-2 Purchased electricity'!A1", "14.1.1-2 Purchased electricity")</f>
        <v>14.1.1-2 Purchased electricity</v>
      </c>
      <c r="D50" s="24" t="s">
        <v>907</v>
      </c>
      <c r="E50" s="226">
        <f>SUM(O33:O33)+N("Partial sum")</f>
        <v>0.1158</v>
      </c>
      <c r="F50" s="16" t="str">
        <f t="shared" si="2"/>
        <v>t CO2-e</v>
      </c>
      <c r="H50" s="184"/>
      <c r="I50" s="184"/>
      <c r="J50" s="184"/>
      <c r="L50" s="184"/>
      <c r="M50" s="184"/>
      <c r="N50" s="184"/>
      <c r="O50" s="184"/>
      <c r="P50" s="184"/>
      <c r="Q50" s="184"/>
    </row>
    <row r="51" spans="1:17" ht="20.100000000000001" customHeight="1" x14ac:dyDescent="0.25">
      <c r="A51" s="5" t="str">
        <f>HYPERLINK("#'15 Scope 3'!A1", "15 Scope 3")</f>
        <v>15 Scope 3</v>
      </c>
      <c r="D51" s="24" t="s">
        <v>908</v>
      </c>
      <c r="E51" s="226">
        <f>SUM(P33:P33)+N("Partial sum")</f>
        <v>0.193</v>
      </c>
      <c r="F51" s="16" t="str">
        <f t="shared" si="2"/>
        <v>t CO2-e</v>
      </c>
      <c r="H51" s="184"/>
      <c r="I51" s="184"/>
      <c r="J51" s="184"/>
      <c r="L51" s="184"/>
      <c r="M51" s="184"/>
      <c r="N51" s="184"/>
      <c r="O51" s="184"/>
      <c r="P51" s="184"/>
      <c r="Q51" s="184"/>
    </row>
    <row r="52" spans="1:17" ht="20.100000000000001" customHeight="1" x14ac:dyDescent="0.25">
      <c r="A52" s="5" t="str">
        <f>HYPERLINK("#'Calcs - Manure sent off-site'!A1", "Calcs - Manure sent off-site")</f>
        <v>Calcs - Manure sent off-site</v>
      </c>
      <c r="D52" s="24" t="s">
        <v>251</v>
      </c>
      <c r="E52" s="226">
        <f>SUM(Q33)+N("Partial sum")</f>
        <v>6.6778000000000004</v>
      </c>
      <c r="F52" s="16" t="str">
        <f t="shared" si="2"/>
        <v>t CO2-e</v>
      </c>
      <c r="H52" s="184"/>
      <c r="I52" s="184"/>
      <c r="J52" s="184"/>
      <c r="L52" s="184"/>
      <c r="M52" s="184"/>
      <c r="N52" s="184"/>
      <c r="O52" s="184"/>
      <c r="P52" s="184"/>
      <c r="Q52" s="184"/>
    </row>
    <row r="53" spans="1:17" ht="20.100000000000001" customHeight="1" x14ac:dyDescent="0.25">
      <c r="D53" s="184"/>
      <c r="E53" s="228"/>
      <c r="F53" s="184"/>
      <c r="G53" s="184"/>
      <c r="H53" s="184"/>
      <c r="I53" s="184"/>
      <c r="J53" s="184"/>
      <c r="L53" s="184"/>
      <c r="M53" s="184"/>
      <c r="N53" s="184"/>
      <c r="O53" s="184"/>
      <c r="P53" s="184"/>
      <c r="Q53" s="184"/>
    </row>
    <row r="54" spans="1:17" ht="20.100000000000001" customHeight="1" x14ac:dyDescent="0.25">
      <c r="D54" s="223" t="str">
        <f>"Total scope 1 - " &amp; D34</f>
        <v>Total scope 1 - Aviation</v>
      </c>
      <c r="E54" s="227"/>
      <c r="F54" s="225"/>
      <c r="G54" s="184"/>
      <c r="H54" s="184"/>
      <c r="I54" s="184"/>
      <c r="J54" s="184"/>
      <c r="L54" s="184"/>
      <c r="M54" s="184"/>
      <c r="N54" s="184"/>
      <c r="O54" s="184"/>
      <c r="P54" s="184"/>
      <c r="Q54" s="184"/>
    </row>
    <row r="55" spans="1:17" ht="20.100000000000001" customHeight="1" x14ac:dyDescent="0.25">
      <c r="A55" s="83" t="s">
        <v>1</v>
      </c>
      <c r="D55" s="24" t="s">
        <v>906</v>
      </c>
      <c r="E55" s="226">
        <f>SUM(N34:N36)+N("Partial sum")</f>
        <v>0</v>
      </c>
      <c r="F55" s="16" t="str">
        <f t="shared" ref="F55:F58" si="3">$E$12</f>
        <v>t CO2-e</v>
      </c>
      <c r="G55" s="184"/>
      <c r="H55" s="184"/>
      <c r="I55" s="184"/>
      <c r="J55" s="184"/>
      <c r="L55" s="184"/>
      <c r="M55" s="184"/>
      <c r="N55" s="184"/>
      <c r="O55" s="184"/>
      <c r="P55" s="184"/>
      <c r="Q55" s="184"/>
    </row>
    <row r="56" spans="1:17" ht="20.100000000000001" customHeight="1" x14ac:dyDescent="0.25">
      <c r="A56" s="5" t="str">
        <f>HYPERLINK("#'Constants - Dairy'!A1", "Constants - Dairy")</f>
        <v>Constants - Dairy</v>
      </c>
      <c r="D56" s="24" t="s">
        <v>907</v>
      </c>
      <c r="E56" s="226">
        <f>SUM(O34:O36)+N("Partial sum")</f>
        <v>0</v>
      </c>
      <c r="F56" s="16" t="str">
        <f t="shared" si="3"/>
        <v>t CO2-e</v>
      </c>
      <c r="G56" s="184"/>
      <c r="H56" s="184"/>
      <c r="I56" s="184"/>
      <c r="J56" s="184"/>
      <c r="L56" s="184"/>
      <c r="M56" s="184"/>
      <c r="N56" s="184"/>
      <c r="O56" s="184"/>
      <c r="P56" s="184"/>
      <c r="Q56" s="184"/>
    </row>
    <row r="57" spans="1:17" ht="20.100000000000001" customHeight="1" x14ac:dyDescent="0.25">
      <c r="A57" s="5" t="str">
        <f>HYPERLINK("#'Constants - Ag Residue'!A1", "Constants - Ag residue")</f>
        <v>Constants - Ag residue</v>
      </c>
      <c r="D57" s="24" t="s">
        <v>908</v>
      </c>
      <c r="E57" s="226">
        <f>SUM(P34:P36)+N("Partial sum")</f>
        <v>0</v>
      </c>
      <c r="F57" s="16" t="str">
        <f t="shared" si="3"/>
        <v>t CO2-e</v>
      </c>
      <c r="G57" s="184"/>
      <c r="H57" s="184"/>
      <c r="I57" s="184"/>
      <c r="J57" s="184"/>
      <c r="L57" s="184"/>
      <c r="M57" s="184"/>
      <c r="N57" s="184"/>
      <c r="O57" s="184"/>
      <c r="P57" s="184"/>
      <c r="Q57" s="184"/>
    </row>
    <row r="58" spans="1:17" ht="20.100000000000001" customHeight="1" x14ac:dyDescent="0.25">
      <c r="A58" s="5" t="str">
        <f>HYPERLINK("#'Constants - Common Livestock'!A1", "Constants - Common Livestock")</f>
        <v>Constants - Common Livestock</v>
      </c>
      <c r="D58" s="24" t="s">
        <v>251</v>
      </c>
      <c r="E58" s="226">
        <f>SUM(Q34:Q36)+N("Partial sum")</f>
        <v>0</v>
      </c>
      <c r="F58" s="16" t="str">
        <f t="shared" si="3"/>
        <v>t CO2-e</v>
      </c>
      <c r="G58" s="184"/>
      <c r="H58" s="184"/>
      <c r="I58" s="184"/>
      <c r="J58" s="184"/>
      <c r="L58" s="184"/>
      <c r="M58" s="184"/>
      <c r="N58" s="184"/>
      <c r="O58" s="184"/>
      <c r="P58" s="184"/>
      <c r="Q58" s="184"/>
    </row>
    <row r="59" spans="1:17" ht="20.100000000000001" customHeight="1" x14ac:dyDescent="0.25">
      <c r="A59" s="5" t="str">
        <f>HYPERLINK("#'Constants - Electricity'!A1", "Constants - Electricity")</f>
        <v>Constants - Electricity</v>
      </c>
      <c r="D59" s="184"/>
      <c r="E59" s="228"/>
      <c r="F59" s="184"/>
      <c r="G59" s="184"/>
      <c r="H59" s="184"/>
      <c r="I59" s="184"/>
      <c r="J59" s="184"/>
      <c r="L59" s="184"/>
      <c r="M59" s="184"/>
      <c r="N59" s="184"/>
      <c r="O59" s="184"/>
      <c r="P59" s="184"/>
      <c r="Q59" s="184"/>
    </row>
    <row r="60" spans="1:17" ht="20.100000000000001" customHeight="1" x14ac:dyDescent="0.25">
      <c r="A60" s="5" t="str">
        <f>HYPERLINK("#'Constants - Fertiliser'!A1", "Constants - Fertiliser")</f>
        <v>Constants - Fertiliser</v>
      </c>
      <c r="D60" s="223" t="str">
        <f>"Total scope 1 - " &amp; D37</f>
        <v>Total scope 1 - Vessels</v>
      </c>
      <c r="E60" s="227"/>
      <c r="F60" s="225"/>
      <c r="G60" s="184"/>
      <c r="H60" s="184"/>
      <c r="I60" s="184"/>
      <c r="J60" s="184"/>
      <c r="L60" s="184"/>
      <c r="M60" s="184"/>
      <c r="N60" s="184"/>
      <c r="O60" s="184"/>
      <c r="P60" s="184"/>
      <c r="Q60" s="184"/>
    </row>
    <row r="61" spans="1:17" ht="20.100000000000001" customHeight="1" x14ac:dyDescent="0.25">
      <c r="A61" s="5" t="str">
        <f>HYPERLINK("#'Constants - Fuel'!A1", "Constants - Fuel")</f>
        <v>Constants - Fuel</v>
      </c>
      <c r="D61" s="24" t="s">
        <v>906</v>
      </c>
      <c r="E61" s="226">
        <f>SUM(N37:N39)+N("Partial sum")</f>
        <v>29.219199999999997</v>
      </c>
      <c r="F61" s="16" t="str">
        <f t="shared" ref="F61:F64" si="4">$E$12</f>
        <v>t CO2-e</v>
      </c>
      <c r="G61" s="184"/>
      <c r="H61" s="184"/>
      <c r="I61" s="184"/>
      <c r="J61" s="184"/>
      <c r="L61" s="184"/>
      <c r="M61" s="184"/>
      <c r="N61" s="184"/>
      <c r="O61" s="184"/>
      <c r="P61" s="184"/>
      <c r="Q61" s="184"/>
    </row>
    <row r="62" spans="1:17" ht="20.100000000000001" customHeight="1" x14ac:dyDescent="0.25">
      <c r="A62" s="5" t="str">
        <f>HYPERLINK("#'Constants - Scope 3'!A1", "Constants - Scope 3")</f>
        <v>Constants - Scope 3</v>
      </c>
      <c r="D62" s="24" t="s">
        <v>907</v>
      </c>
      <c r="E62" s="226">
        <f>SUM(O37:O39)+N("Partial sum")</f>
        <v>7.9400000000000012E-2</v>
      </c>
      <c r="F62" s="16" t="str">
        <f t="shared" si="4"/>
        <v>t CO2-e</v>
      </c>
      <c r="G62" s="184"/>
      <c r="H62" s="184"/>
      <c r="I62" s="184"/>
      <c r="J62" s="184"/>
      <c r="L62" s="184"/>
      <c r="M62" s="184"/>
      <c r="N62" s="184"/>
      <c r="O62" s="184"/>
      <c r="P62" s="184"/>
      <c r="Q62" s="184"/>
    </row>
    <row r="63" spans="1:17" ht="20.100000000000001" customHeight="1" x14ac:dyDescent="0.25">
      <c r="A63" s="5" t="str">
        <f>HYPERLINK("#'Constants - Common'!A1", "Constants - Common")</f>
        <v>Constants - Common</v>
      </c>
      <c r="D63" s="24" t="s">
        <v>908</v>
      </c>
      <c r="E63" s="226">
        <f>SUM(P37:P39)+N("Partial sum")</f>
        <v>0.19850000000000001</v>
      </c>
      <c r="F63" s="16" t="str">
        <f t="shared" si="4"/>
        <v>t CO2-e</v>
      </c>
      <c r="G63" s="184"/>
      <c r="H63" s="184"/>
      <c r="I63" s="184"/>
      <c r="J63" s="184"/>
      <c r="L63" s="184"/>
      <c r="M63" s="184"/>
      <c r="N63" s="184"/>
      <c r="O63" s="184"/>
      <c r="P63" s="184"/>
      <c r="Q63" s="184"/>
    </row>
    <row r="64" spans="1:17" ht="20.100000000000001" customHeight="1" x14ac:dyDescent="0.25">
      <c r="A64" s="5" t="str">
        <f>HYPERLINK("#'Constants - Solid Waste'!A1", "Constants - Solid Waste")</f>
        <v>Constants - Solid Waste</v>
      </c>
      <c r="D64" s="24" t="s">
        <v>251</v>
      </c>
      <c r="E64" s="226">
        <f>SUM(Q37:Q39)+N("Partial sum")</f>
        <v>7.1459999999999999</v>
      </c>
      <c r="F64" s="16" t="str">
        <f t="shared" si="4"/>
        <v>t CO2-e</v>
      </c>
      <c r="G64" s="184"/>
      <c r="H64" s="184"/>
      <c r="I64" s="184"/>
      <c r="J64" s="184"/>
      <c r="L64" s="184"/>
      <c r="M64" s="184"/>
      <c r="N64" s="184"/>
      <c r="O64" s="184"/>
      <c r="P64" s="184"/>
      <c r="Q64" s="184"/>
    </row>
    <row r="65" spans="1:17" ht="20.100000000000001" customHeight="1" x14ac:dyDescent="0.25">
      <c r="A65" s="5" t="str">
        <f>HYPERLINK("#'Acknowledgements'!A1", "Acknowledgements")</f>
        <v>Acknowledgements</v>
      </c>
      <c r="G65" s="184"/>
      <c r="H65" s="184"/>
      <c r="I65" s="184"/>
      <c r="J65" s="184"/>
      <c r="L65" s="184"/>
      <c r="M65" s="184"/>
      <c r="N65" s="184"/>
      <c r="O65" s="184"/>
      <c r="P65" s="184"/>
      <c r="Q65" s="184"/>
    </row>
    <row r="66" spans="1:17" ht="20.100000000000001" customHeight="1" x14ac:dyDescent="0.25">
      <c r="D66" s="223" t="s">
        <v>909</v>
      </c>
      <c r="E66" s="229"/>
      <c r="F66" s="225"/>
      <c r="G66" s="184"/>
      <c r="H66" s="184"/>
      <c r="I66" s="184"/>
      <c r="J66" s="184"/>
      <c r="L66" s="184"/>
      <c r="M66" s="184"/>
      <c r="N66" s="184"/>
      <c r="O66" s="184"/>
      <c r="P66" s="184"/>
      <c r="Q66" s="184"/>
    </row>
    <row r="67" spans="1:17" ht="20.100000000000001" customHeight="1" x14ac:dyDescent="0.25">
      <c r="D67" s="24" t="s">
        <v>906</v>
      </c>
      <c r="E67" s="226">
        <f>E43+E49+E55+E61</f>
        <v>83.182000000000002</v>
      </c>
      <c r="F67" s="16" t="str">
        <f t="shared" ref="F67:F70" si="5">$E$12</f>
        <v>t CO2-e</v>
      </c>
      <c r="G67" s="184"/>
    </row>
    <row r="68" spans="1:17" ht="20.100000000000001" customHeight="1" x14ac:dyDescent="0.25">
      <c r="D68" s="24" t="s">
        <v>907</v>
      </c>
      <c r="E68" s="226">
        <f t="shared" ref="E68:E70" si="6">E44+E50+E56+E62</f>
        <v>0.19906000000000001</v>
      </c>
      <c r="F68" s="16" t="str">
        <f t="shared" si="5"/>
        <v>t CO2-e</v>
      </c>
      <c r="G68" s="184"/>
    </row>
    <row r="69" spans="1:17" ht="20.100000000000001" customHeight="1" x14ac:dyDescent="0.25">
      <c r="D69" s="24" t="s">
        <v>908</v>
      </c>
      <c r="E69" s="226">
        <f t="shared" si="6"/>
        <v>0.58450000000000002</v>
      </c>
      <c r="F69" s="16" t="str">
        <f t="shared" si="5"/>
        <v>t CO2-e</v>
      </c>
      <c r="G69" s="184"/>
    </row>
    <row r="70" spans="1:17" ht="20.100000000000001" customHeight="1" x14ac:dyDescent="0.25">
      <c r="D70" s="24" t="s">
        <v>251</v>
      </c>
      <c r="E70" s="226">
        <f t="shared" si="6"/>
        <v>20.5016</v>
      </c>
      <c r="F70" s="16" t="str">
        <f t="shared" si="5"/>
        <v>t CO2-e</v>
      </c>
      <c r="G70" s="184"/>
    </row>
    <row r="71" spans="1:17" ht="20.100000000000001" customHeight="1" x14ac:dyDescent="0.25">
      <c r="G71" s="184"/>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015BCAE1-6954-42C4-8FD6-A440DBE4C256}"/>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B9904-F26C-410F-9DCC-592B10674358}">
  <sheetPr>
    <tabColor rgb="FF008000"/>
  </sheetPr>
  <dimension ref="A1:R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910</v>
      </c>
    </row>
    <row r="2" spans="1:18" s="3" customFormat="1" ht="20.100000000000001" customHeight="1" x14ac:dyDescent="0.25">
      <c r="A2"/>
    </row>
    <row r="3" spans="1:18" ht="20.100000000000001" customHeight="1" x14ac:dyDescent="0.25">
      <c r="A3" s="5" t="str">
        <f>HYPERLINK("#'Home'!A1", "Home")</f>
        <v>Home</v>
      </c>
      <c r="C3" s="22"/>
      <c r="D3" s="22" t="s">
        <v>129</v>
      </c>
      <c r="E3" s="22"/>
      <c r="F3" s="22"/>
      <c r="G3" s="22"/>
      <c r="H3" s="22"/>
      <c r="I3" s="22"/>
      <c r="J3" s="22"/>
      <c r="K3" s="22"/>
      <c r="L3" s="22"/>
      <c r="M3" s="22"/>
      <c r="N3" s="22"/>
      <c r="O3" s="22"/>
      <c r="P3" s="22"/>
      <c r="Q3" s="22"/>
      <c r="R3" s="22"/>
    </row>
    <row r="4" spans="1:18" ht="20.100000000000001" customHeight="1" x14ac:dyDescent="0.25">
      <c r="A4" s="5" t="str">
        <f>HYPERLINK("#'Results - Activity period'!A1", "Results - Activity period")</f>
        <v>Results - Activity period</v>
      </c>
    </row>
    <row r="5" spans="1:18" ht="20.100000000000001" customHeight="1" x14ac:dyDescent="0.25">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84"/>
      <c r="P5" s="184"/>
      <c r="Q5" s="184"/>
      <c r="R5" s="184"/>
    </row>
    <row r="6" spans="1:18" ht="20.100000000000001" customHeight="1" x14ac:dyDescent="0.25">
      <c r="A6" s="5" t="str">
        <f>HYPERLINK("#'Results'!A1", "Results")</f>
        <v>Results</v>
      </c>
      <c r="D6" s="17" t="str" cm="1">
        <f t="array" ref="D6">Fuel_Equations.VEERG_8_2_1_1__1_FuelCombustionStationary_Source()</f>
        <v>VEERG 2026: 8.2.1.1, Equation (1)</v>
      </c>
      <c r="K6" s="17" t="str" cm="1">
        <f t="array" ref="K6">Scope3_Equations.VEERG_15_11_1_1__3_UpstreamStationaryFuelEmissions_Source()</f>
        <v>VEERG 2026: 15.11.1.1, Equation (3)</v>
      </c>
      <c r="O6" s="184"/>
      <c r="P6" s="184"/>
      <c r="Q6" s="184"/>
      <c r="R6" s="184"/>
    </row>
    <row r="7" spans="1:18" ht="20.100000000000001" customHeight="1" x14ac:dyDescent="0.25">
      <c r="D7" s="117" t="s">
        <v>343</v>
      </c>
      <c r="E7" s="117"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84"/>
      <c r="P7" s="184"/>
      <c r="Q7" s="184"/>
      <c r="R7" s="184"/>
    </row>
    <row r="8" spans="1:18" ht="20.100000000000001" customHeight="1" x14ac:dyDescent="0.25">
      <c r="K8" s="117" t="s">
        <v>343</v>
      </c>
      <c r="L8" s="117" t="str" cm="1">
        <f t="array" aca="1" ref="L8" ca="1">Common_InputFunctions.Utility_DisplayFunctionName(Q25)</f>
        <v>=Fuel_Equations.VEERG_8_2_1_1__1_FuelCombustionStationary</v>
      </c>
      <c r="O8" s="184"/>
      <c r="P8" s="184"/>
      <c r="Q8" s="184"/>
      <c r="R8" s="184"/>
    </row>
    <row r="9" spans="1:18" ht="20.100000000000001" customHeight="1" x14ac:dyDescent="0.25">
      <c r="A9" s="7" t="s">
        <v>0</v>
      </c>
      <c r="G9" s="17"/>
      <c r="O9" s="184"/>
      <c r="P9" s="184"/>
      <c r="Q9" s="184"/>
      <c r="R9" s="184"/>
    </row>
    <row r="10" spans="1:18" ht="20.100000000000001" customHeight="1" x14ac:dyDescent="0.25">
      <c r="A10" s="5" t="str">
        <f>HYPERLINK("#'Input - Enterprise'!A1", "Enterprise")</f>
        <v>Enterprise</v>
      </c>
      <c r="O10" s="184"/>
      <c r="P10" s="184"/>
      <c r="Q10" s="184"/>
      <c r="R10" s="184"/>
    </row>
    <row r="11" spans="1:18" ht="20.100000000000001" customHeight="1" x14ac:dyDescent="0.25">
      <c r="A11" s="5" t="str">
        <f>HYPERLINK("#'Input - Site'!A1", "Site")</f>
        <v>Site</v>
      </c>
      <c r="D11" s="76" t="s">
        <v>344</v>
      </c>
      <c r="E11" s="1" t="str" cm="1">
        <f t="array" ref="E11">Fuel_Equations.VEERG_8_2_1_1__1_FuelCombustionStationary_Variable()</f>
        <v>E_g</v>
      </c>
      <c r="K11" s="76" t="s">
        <v>344</v>
      </c>
      <c r="L11" s="1" t="str" cm="1">
        <f t="array" ref="L11">Scope3_Equations.VEERG_15_11_1_1__3_UpstreamStationaryFuelEmissions_Variable()</f>
        <v>E_WTTSCq</v>
      </c>
      <c r="O11" s="184"/>
      <c r="P11" s="184"/>
      <c r="Q11" s="184"/>
      <c r="R11" s="184"/>
    </row>
    <row r="12" spans="1:18" ht="20.100000000000001" customHeight="1" x14ac:dyDescent="0.25">
      <c r="A12" s="5" t="str">
        <f>HYPERLINK("#'Input - Dairy'!A1", "Dairy")</f>
        <v>Dairy</v>
      </c>
      <c r="D12" s="76" t="s">
        <v>118</v>
      </c>
      <c r="E12" s="9" t="str" cm="1">
        <f t="array" ref="E12">Fuel_Equations.VEERG_8_2_1_1__1_FuelCombustionStationary_Unit()</f>
        <v>t CO2-e</v>
      </c>
      <c r="K12" s="76" t="s">
        <v>118</v>
      </c>
      <c r="L12" s="9" t="str" cm="1">
        <f t="array" ref="L12">Scope3_Equations.VEERG_15_11_1_1__3_UpstreamStationaryFuelEmissions_Unit()</f>
        <v>t CO2e</v>
      </c>
    </row>
    <row r="13" spans="1:18" ht="20.100000000000001" customHeight="1" x14ac:dyDescent="0.25">
      <c r="A13" s="5" t="str">
        <f>HYPERLINK("#'Input - Livestock sales'!A1", "Livestock sales")</f>
        <v>Livestock sales</v>
      </c>
    </row>
    <row r="14" spans="1:18" ht="20.100000000000001" customHeight="1" x14ac:dyDescent="0.25">
      <c r="A14" s="5" t="str">
        <f>HYPERLINK("#'Input - Dairy cattle purchases'!A1", "Dairy cattle purchases")</f>
        <v>Dairy cattle purchases</v>
      </c>
      <c r="D14" s="119" t="str" cm="1">
        <f t="array" ref="D14:E20">_xlfn.CHOOSECOLS(Fuel_Equations.VEERG_8_2_1_1__1_FuelCombustionStationary_Arguments(), 1,2)</f>
        <v>Q_SCq</v>
      </c>
      <c r="E14" s="124" t="str">
        <v>Amount of fuel type q used for stationary combustion operations</v>
      </c>
      <c r="F14" s="125"/>
      <c r="G14" s="119" t="str" cm="1">
        <f t="array" ref="G14:H20">_xlfn.CHOOSECOLS(Fuel_Equations.VEERG_8_2_1_1__1_FuelCombustionStationary_Arguments(), 3,4)</f>
        <v>Varies based on fuel type: kL, m3, GJ</v>
      </c>
      <c r="H14" s="120" t="str">
        <v>Input</v>
      </c>
      <c r="I14" s="126" t="str" cm="1">
        <f t="array" aca="1" ref="I14" ca="1">HYPERLINK(Common_InputFunctions.Utility_SourceHyperlink($D$22), $D$22)</f>
        <v>Table_E_g</v>
      </c>
      <c r="K14" s="119" t="str" cm="1">
        <f t="array" ref="K14:L18">_xlfn.CHOOSECOLS(Scope3_Equations.VEERG_15_11_1_1__3_UpstreamStationaryFuelEmissions_Arguments(),1,2)</f>
        <v>Q_SCq</v>
      </c>
      <c r="L14" s="119" t="str">
        <v>amount of fuel q used for stationary combustion operations</v>
      </c>
      <c r="M14" s="119"/>
      <c r="N14" s="119" t="str" cm="1">
        <f t="array" ref="N14:O18">_xlfn.CHOOSECOLS(Scope3_Equations.VEERG_15_11_1_1__3_UpstreamStationaryFuelEmissions_Arguments(),3,4)</f>
        <v>kL</v>
      </c>
      <c r="O14" s="120" t="str">
        <v>Input</v>
      </c>
      <c r="P14" s="126" t="str" cm="1">
        <f t="array" aca="1" ref="P14" ca="1">HYPERLINK(Common_InputFunctions.Utility_SourceHyperlink($D$22), $D$22)</f>
        <v>Table_E_g</v>
      </c>
      <c r="Q14" s="184"/>
    </row>
    <row r="15" spans="1:18" ht="20.100000000000001" customHeight="1" x14ac:dyDescent="0.25">
      <c r="A15" s="5" t="str">
        <f>HYPERLINK("#'Input - Pasture'!A1", "Pasture")</f>
        <v>Pasture</v>
      </c>
      <c r="D15" s="119" t="str">
        <v>EC_SCq</v>
      </c>
      <c r="E15" s="124" t="str">
        <v>Energy content factor for stationary combustion operations</v>
      </c>
      <c r="F15" s="125"/>
      <c r="G15" s="119" t="str">
        <v>GJ / unit of fuel</v>
      </c>
      <c r="H15" s="127" t="str">
        <v>Constant</v>
      </c>
      <c r="I15" s="126" t="str" cm="1">
        <f t="array" aca="1" ref="I15" ca="1">HYPERLINK(Common_InputFunctions.Utility_SourceHyperlink($D$22), $D$22)</f>
        <v>Table_E_g</v>
      </c>
      <c r="K15" s="119" t="str">
        <v>EC_SCq</v>
      </c>
      <c r="L15" s="119" t="str">
        <v>energy content factor for stationary combustion operations</v>
      </c>
      <c r="M15" s="119"/>
      <c r="N15" s="119" t="str">
        <v>GJ/kL</v>
      </c>
      <c r="O15" s="127" t="str">
        <v>Constant</v>
      </c>
      <c r="P15" s="126" t="str" cm="1">
        <f t="array" aca="1" ref="P15" ca="1">HYPERLINK(Common_InputFunctions.Utility_SourceHyperlink($D$22), $D$22)</f>
        <v>Table_E_g</v>
      </c>
      <c r="Q15" s="184"/>
    </row>
    <row r="16" spans="1:18" ht="20.100000000000001" customHeight="1" x14ac:dyDescent="0.25">
      <c r="A16" s="5" t="str">
        <f>HYPERLINK("#'Input - Fert Prod System'!A1", "Fert Prod System")</f>
        <v>Fert Prod System</v>
      </c>
      <c r="D16" s="119" t="str">
        <v>EF_SC1qg</v>
      </c>
      <c r="E16" s="124" t="str">
        <v>Scope 1 emission factor for stationary combustion for each greenhouse gas</v>
      </c>
      <c r="F16" s="125"/>
      <c r="G16" s="119" t="str">
        <v>kg CO2e / GJ</v>
      </c>
      <c r="H16" s="127" t="str">
        <v>Constant</v>
      </c>
      <c r="I16" s="126" t="str" cm="1">
        <f t="array" aca="1" ref="I16" ca="1">HYPERLINK(Common_InputFunctions.Utility_SourceHyperlink($D$22), $D$22)</f>
        <v>Table_E_g</v>
      </c>
      <c r="K16" s="119" t="str">
        <v>EF_SC3q</v>
      </c>
      <c r="L16" s="119" t="str">
        <v>scope 3 emission factor for stationary combustion operations</v>
      </c>
      <c r="M16" s="119"/>
      <c r="N16" s="119" t="str">
        <v>kg CO2e/GJ</v>
      </c>
      <c r="O16" s="127" t="str">
        <v>Constant</v>
      </c>
      <c r="P16" s="126" t="str" cm="1">
        <f t="array" aca="1" ref="P16" ca="1">HYPERLINK(Common_InputFunctions.Utility_SourceHyperlink($D$22), $D$22)</f>
        <v>Table_E_g</v>
      </c>
      <c r="Q16" s="184"/>
    </row>
    <row r="17" spans="1:17" ht="20.100000000000001" customHeight="1" x14ac:dyDescent="0.25">
      <c r="A17" s="5" t="str">
        <f>HYPERLINK("#'Input - Fertiliser'!A1", "Fertiliser")</f>
        <v>Fertiliser</v>
      </c>
      <c r="D17" s="119" t="str">
        <v>q</v>
      </c>
      <c r="E17" s="124" t="str">
        <v>Fuel type</v>
      </c>
      <c r="F17" s="125"/>
      <c r="G17" s="119" t="str">
        <v/>
      </c>
      <c r="H17" s="127" t="str">
        <v>Constant</v>
      </c>
      <c r="I17" s="126"/>
      <c r="J17" s="184"/>
      <c r="K17" s="119" t="str">
        <v>i</v>
      </c>
      <c r="L17" s="124" t="str">
        <v>state</v>
      </c>
      <c r="M17" s="125"/>
      <c r="N17" s="119" t="str">
        <v/>
      </c>
      <c r="O17" s="120" t="str">
        <v>Input</v>
      </c>
      <c r="P17" s="119" t="str">
        <f>X_Cell_Site_State</f>
        <v>Dry climate zone</v>
      </c>
      <c r="Q17" s="184"/>
    </row>
    <row r="18" spans="1:17" ht="20.100000000000001" customHeight="1" x14ac:dyDescent="0.25">
      <c r="A18" s="5" t="str">
        <f>HYPERLINK("#'Input - Fuel'!A1", "Fuel")</f>
        <v>Fuel</v>
      </c>
      <c r="D18" s="119" t="str">
        <v>SC</v>
      </c>
      <c r="E18" s="124" t="str">
        <v>Stationary combustion</v>
      </c>
      <c r="F18" s="125"/>
      <c r="G18" s="119" t="str">
        <v/>
      </c>
      <c r="H18" s="127" t="str">
        <v>Constant</v>
      </c>
      <c r="I18" s="126"/>
      <c r="J18" s="184"/>
      <c r="K18" s="119" t="str">
        <v>m</v>
      </c>
      <c r="L18" s="124" t="str">
        <v>metropolitan/non-metropolitan location</v>
      </c>
      <c r="M18" s="125"/>
      <c r="N18" s="119" t="str">
        <v/>
      </c>
      <c r="O18" s="120" t="str">
        <v>Input</v>
      </c>
      <c r="P18" s="119" t="str">
        <f>X_Cell_Fuel_IsMetroLocation</f>
        <v>Metro</v>
      </c>
      <c r="Q18" s="184"/>
    </row>
    <row r="19" spans="1:17" ht="20.100000000000001" customHeight="1" x14ac:dyDescent="0.25">
      <c r="A19" s="5" t="str">
        <f>HYPERLINK("#'Input - Electricity'!A1", "Electricity")</f>
        <v>Electricity</v>
      </c>
      <c r="D19" s="119" t="str">
        <v>g</v>
      </c>
      <c r="E19" s="124" t="str">
        <v>Greenhouse gas</v>
      </c>
      <c r="F19" s="125"/>
      <c r="G19" s="119" t="str">
        <v/>
      </c>
      <c r="H19" s="127" t="str">
        <v>Constant</v>
      </c>
      <c r="I19" s="126"/>
      <c r="J19" s="184"/>
      <c r="L19" s="184"/>
      <c r="N19" s="184"/>
      <c r="O19" s="184"/>
      <c r="P19" s="184"/>
      <c r="Q19" s="184"/>
    </row>
    <row r="20" spans="1:17" ht="20.100000000000001" customHeight="1" x14ac:dyDescent="0.25">
      <c r="A20" s="5" t="str">
        <f>HYPERLINK("#'Input - Common farm inputs'!A1", "Common farm inputs")</f>
        <v>Common farm inputs</v>
      </c>
      <c r="D20" s="119" t="str">
        <v>1</v>
      </c>
      <c r="E20" s="124" t="str">
        <v>Scope 1</v>
      </c>
      <c r="F20" s="125"/>
      <c r="G20" s="119" t="str">
        <v/>
      </c>
      <c r="H20" s="127" t="str">
        <v>Constant</v>
      </c>
      <c r="I20" s="126"/>
      <c r="J20" s="184"/>
      <c r="L20" s="184"/>
      <c r="N20" s="184"/>
      <c r="O20" s="184"/>
      <c r="P20" s="184"/>
      <c r="Q20" s="184"/>
    </row>
    <row r="21" spans="1:17" ht="20.100000000000001" customHeight="1" x14ac:dyDescent="0.25">
      <c r="A21" s="5" t="str">
        <f>HYPERLINK("#'Input - Crop pasture farm input'!A1", "Crop pasture farm input")</f>
        <v>Crop pasture farm input</v>
      </c>
      <c r="O21" s="184"/>
      <c r="P21" s="184"/>
      <c r="Q21" s="184"/>
    </row>
    <row r="22" spans="1:17" ht="20.100000000000001" customHeight="1" x14ac:dyDescent="0.25">
      <c r="A22" s="5" t="str">
        <f>HYPERLINK("#'Input - Livestock farm Inputs'!A1", "Livestock farm Inputs")</f>
        <v>Livestock farm Inputs</v>
      </c>
      <c r="D22" s="121" t="s">
        <v>890</v>
      </c>
    </row>
    <row r="23" spans="1:17" ht="20.100000000000001" customHeight="1" x14ac:dyDescent="0.25">
      <c r="A23" s="5" t="str">
        <f>HYPERLINK("#'Input - Freight'!A1", "Freight")</f>
        <v>Freight</v>
      </c>
      <c r="D23" s="122" t="s">
        <v>911</v>
      </c>
    </row>
    <row r="24" spans="1:17" ht="20.100000000000001" customHeight="1" x14ac:dyDescent="0.25">
      <c r="A24" s="5" t="str">
        <f>HYPERLINK("#'Input - Solid waste'!A1", "Solid waste")</f>
        <v>Solid waste</v>
      </c>
      <c r="D24" s="123" t="s">
        <v>892</v>
      </c>
      <c r="E24" s="123" t="s">
        <v>893</v>
      </c>
      <c r="F24" s="123" t="s">
        <v>894</v>
      </c>
      <c r="G24" s="123" t="s">
        <v>912</v>
      </c>
      <c r="H24" s="123" t="s">
        <v>913</v>
      </c>
      <c r="I24" s="123" t="s">
        <v>914</v>
      </c>
      <c r="J24" s="123" t="s">
        <v>915</v>
      </c>
      <c r="K24" s="123" t="s">
        <v>916</v>
      </c>
      <c r="L24" s="81" t="s">
        <v>917</v>
      </c>
      <c r="M24" s="123" t="s">
        <v>901</v>
      </c>
      <c r="N24" s="123" t="s">
        <v>902</v>
      </c>
      <c r="O24" s="123" t="s">
        <v>903</v>
      </c>
      <c r="P24" s="123" t="s">
        <v>904</v>
      </c>
      <c r="Q24" s="123" t="s">
        <v>918</v>
      </c>
    </row>
    <row r="25" spans="1:17" ht="20.100000000000001" customHeight="1" x14ac:dyDescent="0.25">
      <c r="A25" s="5" t="str">
        <f>HYPERLINK("#'Input - Manure sent off-site'!A1", "Manure sent off-site")</f>
        <v>Manure sent off-site</v>
      </c>
      <c r="D25" s="24" t="str">
        <f>Table_FuelTypesPerUse[[#Headers],[Generators]]</f>
        <v>Generators</v>
      </c>
      <c r="E25" s="208" t="str">
        <f>'Constants - Fuel'!$D$58</f>
        <v>Automotive gasoline / petrol (other than for use as fuel in an aircraft)</v>
      </c>
      <c r="F25" s="208"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30" cm="1">
        <f t="array" ref="N25">Fuel_Equations.VEERG_8_2_1_1__1_FuelCombustionStationary($L25,$G25,H25)</f>
        <v>0</v>
      </c>
      <c r="O25" s="230" cm="1">
        <f t="array" ref="O25">Fuel_Equations.VEERG_8_2_1_1__1_FuelCombustionStationary($L25,$G25,I25)</f>
        <v>0</v>
      </c>
      <c r="P25" s="230" cm="1">
        <f t="array" ref="P25">Fuel_Equations.VEERG_8_2_1_1__1_FuelCombustionStationary($L25,$G25,J25)</f>
        <v>0</v>
      </c>
      <c r="Q25" s="230" cm="1">
        <f t="array" ref="Q25">Fuel_Equations.VEERG_8_2_1_1__1_FuelCombustionStationary($L25,$G25,IF(ISNUMBER(K25), K25, 0))</f>
        <v>0</v>
      </c>
    </row>
    <row r="26" spans="1:17" ht="20.100000000000001" customHeight="1" x14ac:dyDescent="0.25">
      <c r="A26" s="5" t="str">
        <f>HYPERLINK("#'Input - Data quality'!A1", "Data quality")</f>
        <v>Data quality</v>
      </c>
      <c r="D26" s="210" t="str">
        <f t="shared" ref="D26:D31" si="0">$D$25</f>
        <v>Generators</v>
      </c>
      <c r="E26" s="208" t="str">
        <f>'Constants - Fuel'!$D$63</f>
        <v>Diesel oil</v>
      </c>
      <c r="F26" s="208"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87" cm="1">
        <f t="array" ref="L26">Fuel_InputFunctions.Fuel_TotalConsumption(Table_Input_Fuel[Amount consumed], Table_Input_Fuel[Fuel use (select)], D26, Table_Input_Fuel[Fuel type (select)],F26)</f>
        <v>0</v>
      </c>
      <c r="M26" s="187" t="str" cm="1">
        <f t="array" ref="M26">Common_InputFunctions.Utility_LookupValueInTable(F26,Table_FuelTypes_Units[Fuel type],Table_FuelTypes_Units[Unit])</f>
        <v>kL</v>
      </c>
      <c r="N26" s="230" cm="1">
        <f t="array" ref="N26">Fuel_Equations.VEERG_8_2_1_1__1_FuelCombustionStationary($L26,$G26,H26)</f>
        <v>0</v>
      </c>
      <c r="O26" s="230" cm="1">
        <f t="array" ref="O26">Fuel_Equations.VEERG_8_2_1_1__1_FuelCombustionStationary($L26,$G26,I26)</f>
        <v>0</v>
      </c>
      <c r="P26" s="230" cm="1">
        <f t="array" ref="P26">Fuel_Equations.VEERG_8_2_1_1__1_FuelCombustionStationary($L26,$G26,J26)</f>
        <v>0</v>
      </c>
      <c r="Q26" s="230" cm="1">
        <f t="array" ref="Q26">Fuel_Equations.VEERG_8_2_1_1__1_FuelCombustionStationary($L26,$G26,IF(ISNUMBER(K26), K26, 0))</f>
        <v>0</v>
      </c>
    </row>
    <row r="27" spans="1:17" ht="20.100000000000001" customHeight="1" x14ac:dyDescent="0.25">
      <c r="D27" s="210" t="str">
        <f t="shared" si="0"/>
        <v>Generators</v>
      </c>
      <c r="E27" s="208" t="str">
        <f>'Constants - Fuel'!$D$67</f>
        <v>Liquefied petroleum gas (LPG)</v>
      </c>
      <c r="F27" s="208"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30" cm="1">
        <f t="array" ref="N27">Fuel_Equations.VEERG_8_2_1_1__1_FuelCombustionStationary($L27,$G27,H27)</f>
        <v>0</v>
      </c>
      <c r="O27" s="230" cm="1">
        <f t="array" ref="O27">Fuel_Equations.VEERG_8_2_1_1__1_FuelCombustionStationary($L27,$G27,I27)</f>
        <v>0</v>
      </c>
      <c r="P27" s="230" cm="1">
        <f t="array" ref="P27">Fuel_Equations.VEERG_8_2_1_1__1_FuelCombustionStationary($L27,$G27,J27)</f>
        <v>0</v>
      </c>
      <c r="Q27" s="230" cm="1">
        <f t="array" ref="Q27">Fuel_Equations.VEERG_8_2_1_1__1_FuelCombustionStationary($L27,$G27,IF(ISNUMBER(K27), K27, 0))</f>
        <v>0</v>
      </c>
    </row>
    <row r="28" spans="1:17" ht="20.100000000000001" customHeight="1" x14ac:dyDescent="0.25">
      <c r="D28" s="210" t="str">
        <f t="shared" si="0"/>
        <v>Generators</v>
      </c>
      <c r="E28" s="208" t="str">
        <f>'Constants - Fuel'!$D$73</f>
        <v>Biodiesel</v>
      </c>
      <c r="F28" s="208"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30" cm="1">
        <f t="array" ref="N28">Fuel_Equations.VEERG_8_2_1_1__1_FuelCombustionStationary($L28,$G28,H28)</f>
        <v>0</v>
      </c>
      <c r="O28" s="230" cm="1">
        <f t="array" ref="O28">Fuel_Equations.VEERG_8_2_1_1__1_FuelCombustionStationary($L28,$G28,I28)</f>
        <v>0</v>
      </c>
      <c r="P28" s="230" cm="1">
        <f t="array" ref="P28">Fuel_Equations.VEERG_8_2_1_1__1_FuelCombustionStationary($L28,$G28,J28)</f>
        <v>0</v>
      </c>
      <c r="Q28" s="230" cm="1">
        <f t="array" ref="Q28">Fuel_Equations.VEERG_8_2_1_1__1_FuelCombustionStationary($L28,$G28,IF(ISNUMBER(K28), K28, 0))</f>
        <v>0</v>
      </c>
    </row>
    <row r="29" spans="1:17" ht="20.100000000000001" customHeight="1" x14ac:dyDescent="0.25">
      <c r="A29" s="6" t="s">
        <v>2</v>
      </c>
      <c r="D29" s="210" t="str">
        <f t="shared" si="0"/>
        <v>Generators</v>
      </c>
      <c r="E29" s="208" t="str">
        <f>'Constants - Fuel'!$D$74</f>
        <v>Ethanol for use as a fuel in an internal combustion engine</v>
      </c>
      <c r="F29" s="208"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30" cm="1">
        <f t="array" ref="N29">Fuel_Equations.VEERG_8_2_1_1__1_FuelCombustionStationary($L29,$G29,H29)</f>
        <v>0</v>
      </c>
      <c r="O29" s="230" cm="1">
        <f t="array" ref="O29">Fuel_Equations.VEERG_8_2_1_1__1_FuelCombustionStationary($L29,$G29,I29)</f>
        <v>0</v>
      </c>
      <c r="P29" s="230" cm="1">
        <f t="array" ref="P29">Fuel_Equations.VEERG_8_2_1_1__1_FuelCombustionStationary($L29,$G29,J29)</f>
        <v>0</v>
      </c>
      <c r="Q29" s="230" cm="1">
        <f t="array" ref="Q29">Fuel_Equations.VEERG_8_2_1_1__1_FuelCombustionStationary($L29,$G29,IF(ISNUMBER(K29), K29, 0))</f>
        <v>0</v>
      </c>
    </row>
    <row r="30" spans="1:17" ht="20.100000000000001" customHeight="1" x14ac:dyDescent="0.25">
      <c r="A30" s="5" t="str">
        <f>HYPERLINK("#'3.3.1.1-2 Enteric Methane'!A1", "3.3.1.1-2 Enteric methane")</f>
        <v>3.3.1.1-2 Enteric methane</v>
      </c>
      <c r="D30" s="210" t="str">
        <f t="shared" si="0"/>
        <v>Generators</v>
      </c>
      <c r="E30" s="208" t="str">
        <f>'Constants - Fuel'!$D$75</f>
        <v>Biofuels other than those mentioned in the items above and below</v>
      </c>
      <c r="F30" s="208"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30" cm="1">
        <f t="array" ref="N30">Fuel_Equations.VEERG_8_2_1_1__1_FuelCombustionStationary($L30,$G30,H30)</f>
        <v>0</v>
      </c>
      <c r="O30" s="230" cm="1">
        <f t="array" ref="O30">Fuel_Equations.VEERG_8_2_1_1__1_FuelCombustionStationary($L30,$G30,I30)</f>
        <v>0</v>
      </c>
      <c r="P30" s="230" cm="1">
        <f t="array" ref="P30">Fuel_Equations.VEERG_8_2_1_1__1_FuelCombustionStationary($L30,$G30,J30)</f>
        <v>0</v>
      </c>
      <c r="Q30" s="230" cm="1">
        <f t="array" ref="Q30">Fuel_Equations.VEERG_8_2_1_1__1_FuelCombustionStationary($L30,$G30,IF(ISNUMBER(K30), K30, 0))</f>
        <v>0</v>
      </c>
    </row>
    <row r="31" spans="1:17" ht="20.100000000000001" customHeight="1" x14ac:dyDescent="0.25">
      <c r="A31" s="5" t="str">
        <f>HYPERLINK("#'4.3.1.1-2 Methane'!A1", "4.3.1.1-2 Manure methane")</f>
        <v>4.3.1.1-2 Manure methane</v>
      </c>
      <c r="D31" s="210" t="str">
        <f t="shared" si="0"/>
        <v>Generators</v>
      </c>
      <c r="E31" s="208" t="str">
        <f>'Constants - Fuel'!$D$77</f>
        <v>Renewable diesel</v>
      </c>
      <c r="F31" s="208" t="str">
        <f>'Constants - Fuel'!D137</f>
        <v>Renewable diesel</v>
      </c>
      <c r="G31" s="206">
        <f>IFERROR(_xlfn.XLOOKUP($E31, Table_Fuel_EFs_StationaryLiquid[Fuel combusted], Table_Fuel_EFs_StationaryLiquid[Energy Content Factor (GJ per unit of fuel)]),0)</f>
        <v>38.6</v>
      </c>
      <c r="H31" s="206">
        <f>IFERROR(_xlfn.XLOOKUP($E31, Table_Fuel_EFs_StationaryLiquid[Fuel combusted], Table_Fuel_EFs_StationaryLiquid[Scope 1 Emission Factor (kg CO2 - e / GJ) CO2]),0)</f>
        <v>0</v>
      </c>
      <c r="I31" s="206">
        <f>IFERROR(_xlfn.XLOOKUP($E31, Table_Fuel_EFs_StationaryLiquid[Fuel combusted], Table_Fuel_EFs_StationaryLiquid[Scope 1 Emission Factor (kg CO2 - e / GJ) CH4]),0)</f>
        <v>0.1</v>
      </c>
      <c r="J31" s="206">
        <f>IFERROR(_xlfn.XLOOKUP($E31, Table_Fuel_EFs_StationaryLiquid[Fuel combusted], Table_Fuel_EFs_StationaryLiquid[Scope 1 Emission Factor (kg CO2 - e / GJ) N2O]),0)</f>
        <v>0.2</v>
      </c>
      <c r="K31" s="206" t="str">
        <f>IFERROR(_xlfn.XLOOKUP($E31, Table_Fuel_EFs_StationaryLiquid[Fuel combusted], Table_Fuel_EFs_StationaryLiquid[Scope 3 Emission Factor (kg CO2 - e / GJ)]),0)</f>
        <v>NE</v>
      </c>
      <c r="L31" s="211" cm="1">
        <f t="array" ref="L31">Fuel_InputFunctions.Fuel_TotalConsumption(Table_Input_Fuel[Amount consumed], Table_Input_Fuel[Fuel use (select)], D31, Table_Input_Fuel[Fuel type (select)],F31)</f>
        <v>0</v>
      </c>
      <c r="M31" s="211" t="str" cm="1">
        <f t="array" ref="M31">Common_InputFunctions.Utility_LookupValueInTable(F31,Table_FuelTypes_Units[Fuel type],Table_FuelTypes_Units[Unit])</f>
        <v>kL</v>
      </c>
      <c r="N31" s="231" cm="1">
        <f t="array" ref="N31">Fuel_Equations.VEERG_8_2_1_1__1_FuelCombustionStationary($L31,$G31,H31)</f>
        <v>0</v>
      </c>
      <c r="O31" s="231" cm="1">
        <f t="array" ref="O31">Fuel_Equations.VEERG_8_2_1_1__1_FuelCombustionStationary($L31,$G31,I31)</f>
        <v>0</v>
      </c>
      <c r="P31" s="231" cm="1">
        <f t="array" ref="P31">Fuel_Equations.VEERG_8_2_1_1__1_FuelCombustionStationary($L31,$G31,J31)</f>
        <v>0</v>
      </c>
      <c r="Q31" s="231" cm="1">
        <f t="array" ref="Q31">Fuel_Equations.VEERG_8_2_1_1__1_FuelCombustionStationary($L31,$G31,IF(ISNUMBER(K31), K31, 0))</f>
        <v>0</v>
      </c>
    </row>
    <row r="32" spans="1:17" ht="20.100000000000001" customHeight="1" x14ac:dyDescent="0.25">
      <c r="A32" s="5" t="str">
        <f>HYPERLINK("#'4.3.1.3-4 Direct N20'!A1", "4.3.1.3-4 Direct N20")</f>
        <v>4.3.1.3-4 Direct N20</v>
      </c>
      <c r="D32" s="213" t="str">
        <f>Table_FuelTypesPerUse[[#Headers],[Power standalone machinery or heating]]</f>
        <v>Power standalone machinery or heating</v>
      </c>
      <c r="E32" s="214" t="str">
        <f>'Constants - Fuel'!$D$58</f>
        <v>Automotive gasoline / petrol (other than for use as fuel in an aircraft)</v>
      </c>
      <c r="F32" s="214" t="str">
        <f>'Constants - Fuel'!E131</f>
        <v>Petrol</v>
      </c>
      <c r="G32" s="221">
        <f>IFERROR(_xlfn.XLOOKUP($E32, Table_Fuel_EFs_StationaryLiquid[Fuel combusted], Table_Fuel_EFs_StationaryLiquid[Energy Content Factor (GJ per unit of fuel)]),0)</f>
        <v>34.200000000000003</v>
      </c>
      <c r="H32" s="221">
        <f>IFERROR(_xlfn.XLOOKUP($E32, Table_Fuel_EFs_StationaryLiquid[Fuel combusted], Table_Fuel_EFs_StationaryLiquid[Scope 1 Emission Factor (kg CO2 - e / GJ) CO2]),0)</f>
        <v>67.400000000000006</v>
      </c>
      <c r="I32" s="221">
        <f>IFERROR(_xlfn.XLOOKUP($E32, Table_Fuel_EFs_StationaryLiquid[Fuel combusted], Table_Fuel_EFs_StationaryLiquid[Scope 1 Emission Factor (kg CO2 - e / GJ) CH4]),0)</f>
        <v>0.2</v>
      </c>
      <c r="J32" s="221">
        <f>IFERROR(_xlfn.XLOOKUP($E32, Table_Fuel_EFs_StationaryLiquid[Fuel combusted], Table_Fuel_EFs_StationaryLiquid[Scope 1 Emission Factor (kg CO2 - e / GJ) N2O]),0)</f>
        <v>0.2</v>
      </c>
      <c r="K32" s="221">
        <f>IFERROR(_xlfn.XLOOKUP($E32, Table_Fuel_EFs_StationaryLiquid[Fuel combusted], Table_Fuel_EFs_StationaryLiquid[Scope 3 Emission Factor (kg CO2 - e / GJ)]),0)</f>
        <v>17.2</v>
      </c>
      <c r="L32" s="217" cm="1">
        <f t="array" ref="L32">Fuel_InputFunctions.Fuel_TotalConsumption(Table_Input_Fuel[Amount consumed], Table_Input_Fuel[Fuel use (select)], D32, Table_Input_Fuel[Fuel type (select)],F32)</f>
        <v>10</v>
      </c>
      <c r="M32" s="218" t="str" cm="1">
        <f t="array" ref="M32">Common_InputFunctions.Utility_LookupValueInTable(F32,Table_FuelTypes_Units[Fuel type],Table_FuelTypes_Units[Unit])</f>
        <v>kL</v>
      </c>
      <c r="N32" s="232" cm="1">
        <f t="array" ref="N32">Fuel_Equations.VEERG_8_2_1_1__1_FuelCombustionStationary($L32,$G32,H32)</f>
        <v>23.050800000000002</v>
      </c>
      <c r="O32" s="232" cm="1">
        <f t="array" ref="O32">Fuel_Equations.VEERG_8_2_1_1__1_FuelCombustionStationary($L32,$G32,I32)</f>
        <v>6.8400000000000002E-2</v>
      </c>
      <c r="P32" s="232" cm="1">
        <f t="array" ref="P32">Fuel_Equations.VEERG_8_2_1_1__1_FuelCombustionStationary($L32,$G32,J32)</f>
        <v>6.8400000000000002E-2</v>
      </c>
      <c r="Q32" s="232" cm="1">
        <f t="array" ref="Q32">Fuel_Equations.VEERG_8_2_1_1__1_FuelCombustionStationary($L32,$G32,IF(ISNUMBER(K32), K32, 0))</f>
        <v>5.8823999999999996</v>
      </c>
    </row>
    <row r="33" spans="1:17" ht="20.100000000000001" customHeight="1" x14ac:dyDescent="0.25">
      <c r="A33" s="5" t="str">
        <f>HYPERLINK("#'4.3.1.5 Atmos deposition'!A1", "4.3.1.5 Atmos deposition")</f>
        <v>4.3.1.5 Atmos deposition</v>
      </c>
      <c r="D33" s="210" t="str">
        <f t="shared" ref="D33:D40" si="1">$D$32</f>
        <v>Power standalone machinery or heating</v>
      </c>
      <c r="E33" s="208" t="str">
        <f>'Constants - Fuel'!$D$63</f>
        <v>Diesel oil</v>
      </c>
      <c r="F33" s="208"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30" cm="1">
        <f t="array" ref="N33">Fuel_Equations.VEERG_8_2_1_1__1_FuelCombustionStationary($L33,$G33,H33)</f>
        <v>0</v>
      </c>
      <c r="O33" s="230" cm="1">
        <f t="array" ref="O33">Fuel_Equations.VEERG_8_2_1_1__1_FuelCombustionStationary($L33,$G33,I33)</f>
        <v>0</v>
      </c>
      <c r="P33" s="230" cm="1">
        <f t="array" ref="P33">Fuel_Equations.VEERG_8_2_1_1__1_FuelCombustionStationary($L33,$G33,J33)</f>
        <v>0</v>
      </c>
      <c r="Q33" s="230" cm="1">
        <f t="array" ref="Q33">Fuel_Equations.VEERG_8_2_1_1__1_FuelCombustionStationary($L33,$G33,IF(ISNUMBER(K33), K33, 0))</f>
        <v>0</v>
      </c>
    </row>
    <row r="34" spans="1:17" ht="20.100000000000001" customHeight="1" x14ac:dyDescent="0.25">
      <c r="A34" s="5" t="str">
        <f>HYPERLINK("#'4.3.1.6-7 Leaching and runoff'!A1", "4.3.1.6-7 Leaching &amp; runoff")</f>
        <v>4.3.1.6-7 Leaching &amp; runoff</v>
      </c>
      <c r="D34" s="210" t="str">
        <f t="shared" si="1"/>
        <v>Power standalone machinery or heating</v>
      </c>
      <c r="E34" s="208" t="str">
        <f>'Constants - Fuel'!$D$67</f>
        <v>Liquefied petroleum gas (LPG)</v>
      </c>
      <c r="F34" s="208"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30" cm="1">
        <f t="array" ref="N34">Fuel_Equations.VEERG_8_2_1_1__1_FuelCombustionStationary($L34,$G34,H34)</f>
        <v>0</v>
      </c>
      <c r="O34" s="230" cm="1">
        <f t="array" ref="O34">Fuel_Equations.VEERG_8_2_1_1__1_FuelCombustionStationary($L34,$G34,I34)</f>
        <v>0</v>
      </c>
      <c r="P34" s="230" cm="1">
        <f t="array" ref="P34">Fuel_Equations.VEERG_8_2_1_1__1_FuelCombustionStationary($L34,$G34,J34)</f>
        <v>0</v>
      </c>
      <c r="Q34" s="230" cm="1">
        <f t="array" ref="Q34">Fuel_Equations.VEERG_8_2_1_1__1_FuelCombustionStationary($L34,$G34,IF(ISNUMBER(K34), K34, 0))</f>
        <v>0</v>
      </c>
    </row>
    <row r="35" spans="1:17" ht="20.100000000000001" customHeight="1" x14ac:dyDescent="0.25">
      <c r="A35" s="5" t="str">
        <f>HYPERLINK("#'4.3.1.8 Manure applied to soils'!A1", "4.3.1.8 Manure applied to soils")</f>
        <v>4.3.1.8 Manure applied to soils</v>
      </c>
      <c r="D35" s="210" t="str">
        <f t="shared" si="1"/>
        <v>Power standalone machinery or heating</v>
      </c>
      <c r="E35" s="208" t="str">
        <f>'Constants - Fuel'!$D$73</f>
        <v>Biodiesel</v>
      </c>
      <c r="F35" s="208"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30" cm="1">
        <f t="array" ref="N35">Fuel_Equations.VEERG_8_2_1_1__1_FuelCombustionStationary($L35,$G35,H35)</f>
        <v>0</v>
      </c>
      <c r="O35" s="230" cm="1">
        <f t="array" ref="O35">Fuel_Equations.VEERG_8_2_1_1__1_FuelCombustionStationary($L35,$G35,I35)</f>
        <v>0</v>
      </c>
      <c r="P35" s="230" cm="1">
        <f t="array" ref="P35">Fuel_Equations.VEERG_8_2_1_1__1_FuelCombustionStationary($L35,$G35,J35)</f>
        <v>0</v>
      </c>
      <c r="Q35" s="230" cm="1">
        <f t="array" ref="Q35">Fuel_Equations.VEERG_8_2_1_1__1_FuelCombustionStationary($L35,$G35,IF(ISNUMBER(K35), K35, 0))</f>
        <v>0</v>
      </c>
    </row>
    <row r="36" spans="1:17" ht="20.100000000000001" customHeight="1" x14ac:dyDescent="0.25">
      <c r="A36" s="5" t="str">
        <f>HYPERLINK("#'4.3.1.9 Soil direct N2O'!A1", "4.3.1.9 Soil direct N2O")</f>
        <v>4.3.1.9 Soil direct N2O</v>
      </c>
      <c r="D36" s="210" t="str">
        <f t="shared" si="1"/>
        <v>Power standalone machinery or heating</v>
      </c>
      <c r="E36" s="208" t="str">
        <f>'Constants - Fuel'!$D$74</f>
        <v>Ethanol for use as a fuel in an internal combustion engine</v>
      </c>
      <c r="F36" s="208"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30" cm="1">
        <f t="array" ref="N36">Fuel_Equations.VEERG_8_2_1_1__1_FuelCombustionStationary($L36,$G36,H36)</f>
        <v>0</v>
      </c>
      <c r="O36" s="230" cm="1">
        <f t="array" ref="O36">Fuel_Equations.VEERG_8_2_1_1__1_FuelCombustionStationary($L36,$G36,I36)</f>
        <v>0</v>
      </c>
      <c r="P36" s="230" cm="1">
        <f t="array" ref="P36">Fuel_Equations.VEERG_8_2_1_1__1_FuelCombustionStationary($L36,$G36,J36)</f>
        <v>0</v>
      </c>
      <c r="Q36" s="230" cm="1">
        <f t="array" ref="Q36">Fuel_Equations.VEERG_8_2_1_1__1_FuelCombustionStationary($L36,$G36,IF(ISNUMBER(K36), K36, 0))</f>
        <v>0</v>
      </c>
    </row>
    <row r="37" spans="1:17" ht="20.100000000000001" customHeight="1" x14ac:dyDescent="0.25">
      <c r="A37" s="5" t="str">
        <f>HYPERLINK("#'4.3.1.10-11 Soil Atmos Dep'!A1", "4.3.1.10-11 Soil Atmos Deposition")</f>
        <v>4.3.1.10-11 Soil Atmos Deposition</v>
      </c>
      <c r="D37" s="210" t="str">
        <f t="shared" si="1"/>
        <v>Power standalone machinery or heating</v>
      </c>
      <c r="E37" s="208" t="str">
        <f>'Constants - Fuel'!$D$75</f>
        <v>Biofuels other than those mentioned in the items above and below</v>
      </c>
      <c r="F37" s="208"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30" cm="1">
        <f t="array" ref="N37">Fuel_Equations.VEERG_8_2_1_1__1_FuelCombustionStationary($L37,$G37,H37)</f>
        <v>0</v>
      </c>
      <c r="O37" s="230" cm="1">
        <f t="array" ref="O37">Fuel_Equations.VEERG_8_2_1_1__1_FuelCombustionStationary($L37,$G37,I37)</f>
        <v>0</v>
      </c>
      <c r="P37" s="230" cm="1">
        <f t="array" ref="P37">Fuel_Equations.VEERG_8_2_1_1__1_FuelCombustionStationary($L37,$G37,J37)</f>
        <v>0</v>
      </c>
      <c r="Q37" s="230" cm="1">
        <f t="array" ref="Q37">Fuel_Equations.VEERG_8_2_1_1__1_FuelCombustionStationary($L37,$G37,IF(ISNUMBER(K37), K37, 0))</f>
        <v>0</v>
      </c>
    </row>
    <row r="38" spans="1:17" ht="20.100000000000001" customHeight="1" x14ac:dyDescent="0.25">
      <c r="A38" s="5" t="str">
        <f>HYPERLINK("#'4.3.1.12-13 Soil leach runoff'!A1", "4.3.1.12-13 Soil leach &amp; runoff")</f>
        <v>4.3.1.12-13 Soil leach &amp; runoff</v>
      </c>
      <c r="D38" s="210" t="str">
        <f t="shared" si="1"/>
        <v>Power standalone machinery or heating</v>
      </c>
      <c r="E38" s="208" t="str">
        <f>'Constants - Fuel'!$D$77</f>
        <v>Renewable diesel</v>
      </c>
      <c r="F38" s="208"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30" cm="1">
        <f t="array" ref="N38">Fuel_Equations.VEERG_8_2_1_1__1_FuelCombustionStationary($L38,$G38,H38)</f>
        <v>0</v>
      </c>
      <c r="O38" s="230" cm="1">
        <f t="array" ref="O38">Fuel_Equations.VEERG_8_2_1_1__1_FuelCombustionStationary($L38,$G38,I38)</f>
        <v>0</v>
      </c>
      <c r="P38" s="230" cm="1">
        <f t="array" ref="P38">Fuel_Equations.VEERG_8_2_1_1__1_FuelCombustionStationary($L38,$G38,J38)</f>
        <v>0</v>
      </c>
      <c r="Q38" s="230" cm="1">
        <f t="array" ref="Q38">Fuel_Equations.VEERG_8_2_1_1__1_FuelCombustionStationary($L38,$G38,IF(ISNUMBER(K38), K38, 0))</f>
        <v>0</v>
      </c>
    </row>
    <row r="39" spans="1:17" ht="20.100000000000001" customHeight="1" x14ac:dyDescent="0.25">
      <c r="A39" s="5" t="str">
        <f>HYPERLINK("#'5.1.1.1-2 Inorganic fert N2O'!A1", "5.1.1.1-2 Inorganic fert N2O")</f>
        <v>5.1.1.1-2 Inorganic fert N2O</v>
      </c>
      <c r="D39" s="210" t="str">
        <f t="shared" si="1"/>
        <v>Power standalone machinery or heating</v>
      </c>
      <c r="E39" s="208" t="str">
        <f>'Constants - Fuel'!$D$103</f>
        <v>Natural gas distributed in a pipeline - Gigajoules</v>
      </c>
      <c r="F39" s="208"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t="str" cm="1">
        <f t="array" ref="K39">IFERROR(Common_InputFunctions.Utility_LookupValueInTableOneColumnAndHeader($P$17,$P$18,Table_Fuel_EFs_StationaryGaseous34[State or territory],Table_Fuel_EFs_StationaryGaseous34[#Headers],Table_Fuel_EFs_StationaryGaseous34[#Data]),0)</f>
        <v/>
      </c>
      <c r="L39" s="187" cm="1">
        <f t="array" ref="L39">Fuel_InputFunctions.Fuel_TotalConsumption(Table_Input_Fuel[Amount consumed], Table_Input_Fuel[Fuel use (select)], D39, Table_Input_Fuel[Fuel type (select)],F39)</f>
        <v>0</v>
      </c>
      <c r="M39" s="187" t="str" cm="1">
        <f t="array" ref="M39">Common_InputFunctions.Utility_LookupValueInTable(F39,Table_FuelTypes_Units[Fuel type],Table_FuelTypes_Units[Unit])</f>
        <v>GJ</v>
      </c>
      <c r="N39" s="230" cm="1">
        <f t="array" ref="N39">Fuel_Equations.VEERG_8_2_1_1__1_FuelCombustionStationary($L39,$G39,H39)</f>
        <v>0</v>
      </c>
      <c r="O39" s="230" cm="1">
        <f t="array" ref="O39">Fuel_Equations.VEERG_8_2_1_1__1_FuelCombustionStationary($L39,$G39,I39)</f>
        <v>0</v>
      </c>
      <c r="P39" s="230" cm="1">
        <f t="array" ref="P39">Fuel_Equations.VEERG_8_2_1_1__1_FuelCombustionStationary($L39,$G39,J39)</f>
        <v>0</v>
      </c>
      <c r="Q39" s="230" cm="1">
        <f t="array" ref="Q39">Fuel_Equations.VEERG_8_2_1_1__1_FuelCombustionStationary($L39,$G39,IF(ISNUMBER(K39), K39, 0))</f>
        <v>0</v>
      </c>
    </row>
    <row r="40" spans="1:17" ht="20.100000000000001" customHeight="1" x14ac:dyDescent="0.25">
      <c r="A40" s="5" t="str">
        <f>HYPERLINK("#'5.1.1.3-4 Inorganic fert CO2'!A1", "5.1.1.3-4 Inorganic fert CO2")</f>
        <v>5.1.1.3-4 Inorganic fert CO2</v>
      </c>
      <c r="D40" s="210" t="str">
        <f t="shared" si="1"/>
        <v>Power standalone machinery or heating</v>
      </c>
      <c r="E40" s="208" t="str">
        <f>'Constants - Fuel'!$D$104</f>
        <v>Town gas - Gigajoules</v>
      </c>
      <c r="F40" s="208"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t="str" cm="1">
        <f t="array" ref="K40">IFERROR(Common_InputFunctions.Utility_LookupValueInTableOneColumnAndHeader($P$17,$P$18,Table_Fuel_EFs_StationaryGaseous34[State or territory],Table_Fuel_EFs_StationaryGaseous34[#Headers],Table_Fuel_EFs_StationaryGaseous34[#Data]),0)</f>
        <v/>
      </c>
      <c r="L40" s="187" cm="1">
        <f t="array" ref="L40">Fuel_InputFunctions.Fuel_TotalConsumption(Table_Input_Fuel[Amount consumed], Table_Input_Fuel[Fuel use (select)], D40, Table_Input_Fuel[Fuel type (select)],F40)</f>
        <v>100</v>
      </c>
      <c r="M40" s="187" t="str" cm="1">
        <f t="array" ref="M40">Common_InputFunctions.Utility_LookupValueInTable(F40,Table_FuelTypes_Units[Fuel type],Table_FuelTypes_Units[Unit])</f>
        <v>GJ</v>
      </c>
      <c r="N40" s="230" cm="1">
        <f t="array" ref="N40">Fuel_Equations.VEERG_8_2_1_1__1_FuelCombustionStationary($L40,$G40,H40)</f>
        <v>6.0200000000000005</v>
      </c>
      <c r="O40" s="230" cm="1">
        <f t="array" ref="O40">Fuel_Equations.VEERG_8_2_1_1__1_FuelCombustionStationary($L40,$G40,I40)</f>
        <v>4.0000000000000001E-3</v>
      </c>
      <c r="P40" s="230" cm="1">
        <f t="array" ref="P40">Fuel_Equations.VEERG_8_2_1_1__1_FuelCombustionStationary($L40,$G40,J40)</f>
        <v>3.0000000000000001E-3</v>
      </c>
      <c r="Q40" s="230" cm="1">
        <f t="array" ref="Q40">Fuel_Equations.VEERG_8_2_1_1__1_FuelCombustionStationary($L40,$G40,IF(ISNUMBER(K40), K40, 0))</f>
        <v>0</v>
      </c>
    </row>
    <row r="41" spans="1:17" ht="20.100000000000001" customHeight="1" x14ac:dyDescent="0.25">
      <c r="A41" s="5" t="str">
        <f>HYPERLINK("#'5.2.1.1-2 Organic Fert N2O'!A1", "5.2.1.1-2 Organic fert N2O")</f>
        <v>5.2.1.1-2 Organic fert N2O</v>
      </c>
    </row>
    <row r="42" spans="1:17" ht="20.100000000000001" customHeight="1" x14ac:dyDescent="0.25">
      <c r="A42" s="5" t="str">
        <f>HYPERLINK("#'5.3.1.1-2 Lime CO2'!A1", "5.3.1.1-2 Lime CO2")</f>
        <v>5.3.1.1-2 Lime CO2</v>
      </c>
      <c r="D42" s="223" t="str">
        <f>"Total scope 1 - " &amp; D25</f>
        <v>Total scope 1 - Generators</v>
      </c>
      <c r="E42" s="224"/>
      <c r="F42" s="225"/>
    </row>
    <row r="43" spans="1:17" ht="20.100000000000001" customHeight="1" x14ac:dyDescent="0.25">
      <c r="A43" s="5" t="str">
        <f>HYPERLINK("#'5.4.1.1-4 Atmos deposition'!A1", "5.4.1.1-4 Atmos. deposition")</f>
        <v>5.4.1.1-4 Atmos. deposition</v>
      </c>
      <c r="D43" s="24" t="s">
        <v>906</v>
      </c>
      <c r="E43" s="226">
        <f>SUM(N25:N31)+N("Partial sum")</f>
        <v>0</v>
      </c>
      <c r="F43" s="16" t="str">
        <f>$E$12</f>
        <v>t CO2-e</v>
      </c>
    </row>
    <row r="44" spans="1:17" ht="20.100000000000001" customHeight="1" x14ac:dyDescent="0.25">
      <c r="A44" s="5" t="str">
        <f>HYPERLINK("#'5.5.1.1-2 Leaching and runoff'!A1", "5.5.1.1-2 Leaching &amp; runoff")</f>
        <v>5.5.1.1-2 Leaching &amp; runoff</v>
      </c>
      <c r="D44" s="24" t="s">
        <v>907</v>
      </c>
      <c r="E44" s="226">
        <f>SUM(O25:O31)+N("Partial sum")</f>
        <v>0</v>
      </c>
      <c r="F44" s="16" t="str">
        <f t="shared" ref="F44:F46" si="2">$E$12</f>
        <v>t CO2-e</v>
      </c>
    </row>
    <row r="45" spans="1:17" ht="20.100000000000001" customHeight="1" x14ac:dyDescent="0.25">
      <c r="A45" s="5" t="str">
        <f>HYPERLINK("#'6.2.1.1-2 Pasture residue N2O'!A1", "6.2.1.1-2 Pasture residue N2O")</f>
        <v>6.2.1.1-2 Pasture residue N2O</v>
      </c>
      <c r="D45" s="24" t="s">
        <v>908</v>
      </c>
      <c r="E45" s="226">
        <f>SUM(P25:P31)+N("Partial sum")</f>
        <v>0</v>
      </c>
      <c r="F45" s="16" t="str">
        <f t="shared" si="2"/>
        <v>t CO2-e</v>
      </c>
    </row>
    <row r="46" spans="1:17" ht="20.100000000000001" customHeight="1" x14ac:dyDescent="0.25">
      <c r="A46" s="5" t="str">
        <f>HYPERLINK("#'6.3.1.1-2 Leach runoff pasture'!A1", "6.3.1.1-2 Leach &amp; runoff (pasture)")</f>
        <v>6.3.1.1-2 Leach &amp; runoff (pasture)</v>
      </c>
      <c r="D46" s="24" t="s">
        <v>251</v>
      </c>
      <c r="E46" s="226">
        <f>SUM(Q25:Q31)+N("Partial sum")</f>
        <v>0</v>
      </c>
      <c r="F46" s="16" t="str">
        <f t="shared" si="2"/>
        <v>t CO2-e</v>
      </c>
    </row>
    <row r="47" spans="1:17" ht="20.100000000000001" customHeight="1" x14ac:dyDescent="0.25">
      <c r="A47" s="5" t="str">
        <f>HYPERLINK("#'8.1.1.1-2 Transport fuel'!A1", "8.1.1.1-2 Transport fuel")</f>
        <v>8.1.1.1-2 Transport fuel</v>
      </c>
      <c r="H47" s="184"/>
      <c r="I47" s="184"/>
      <c r="J47" s="184"/>
      <c r="L47" s="184"/>
      <c r="N47" s="184"/>
      <c r="O47" s="184"/>
      <c r="P47" s="184"/>
      <c r="Q47" s="184"/>
    </row>
    <row r="48" spans="1:17" ht="20.100000000000001" customHeight="1" x14ac:dyDescent="0.25">
      <c r="A48" s="118" t="str">
        <f>HYPERLINK("#'8.2.1.1-2 Stationary fuel'!A1", "8.2.1.1-2 Stationary fuel")</f>
        <v>8.2.1.1-2 Stationary fuel</v>
      </c>
      <c r="D48" s="223" t="str">
        <f>"Total scope 1 - " &amp; D32</f>
        <v>Total scope 1 - Power standalone machinery or heating</v>
      </c>
      <c r="E48" s="227"/>
      <c r="F48" s="225"/>
      <c r="H48" s="184"/>
      <c r="I48" s="184"/>
      <c r="J48" s="184"/>
      <c r="L48" s="184"/>
      <c r="N48" s="184"/>
      <c r="O48" s="184"/>
      <c r="P48" s="184"/>
      <c r="Q48" s="184"/>
    </row>
    <row r="49" spans="1:17" ht="20.100000000000001" customHeight="1" x14ac:dyDescent="0.25">
      <c r="A49" s="5" t="str">
        <f>HYPERLINK("#'10.1.1-2 Solid waste treatment'!A1", "10.1.1.1-2 Solid waste")</f>
        <v>10.1.1.1-2 Solid waste</v>
      </c>
      <c r="D49" s="24" t="s">
        <v>906</v>
      </c>
      <c r="E49" s="226">
        <f>SUM(N32:N40)+N("Partial sum")</f>
        <v>29.070800000000002</v>
      </c>
      <c r="F49" s="16" t="str">
        <f t="shared" ref="F49:F52" si="3">$E$12</f>
        <v>t CO2-e</v>
      </c>
      <c r="H49" s="184"/>
      <c r="I49" s="184"/>
      <c r="J49" s="184"/>
      <c r="L49" s="184"/>
      <c r="N49" s="184"/>
      <c r="O49" s="184"/>
      <c r="P49" s="184"/>
      <c r="Q49" s="184"/>
    </row>
    <row r="50" spans="1:17" ht="20.100000000000001" customHeight="1" x14ac:dyDescent="0.25">
      <c r="A50" s="5" t="str">
        <f>HYPERLINK("#'14.1.1-2 Purchased electricity'!A1", "14.1.1-2 Purchased electricity")</f>
        <v>14.1.1-2 Purchased electricity</v>
      </c>
      <c r="D50" s="24" t="s">
        <v>907</v>
      </c>
      <c r="E50" s="226">
        <f>SUM(O32:O40)+N("Partial sum")</f>
        <v>7.2400000000000006E-2</v>
      </c>
      <c r="F50" s="16" t="str">
        <f t="shared" si="3"/>
        <v>t CO2-e</v>
      </c>
      <c r="H50" s="184"/>
      <c r="I50" s="184"/>
      <c r="J50" s="184"/>
      <c r="L50" s="184"/>
      <c r="N50" s="184"/>
      <c r="O50" s="184"/>
      <c r="P50" s="184"/>
      <c r="Q50" s="184"/>
    </row>
    <row r="51" spans="1:17" ht="20.100000000000001" customHeight="1" x14ac:dyDescent="0.25">
      <c r="A51" s="5" t="str">
        <f>HYPERLINK("#'15 Scope 3'!A1", "15 Scope 3")</f>
        <v>15 Scope 3</v>
      </c>
      <c r="D51" s="24" t="s">
        <v>908</v>
      </c>
      <c r="E51" s="226">
        <f>SUM(P32:P40)+N("Partial sum")</f>
        <v>7.1400000000000005E-2</v>
      </c>
      <c r="F51" s="16" t="str">
        <f t="shared" si="3"/>
        <v>t CO2-e</v>
      </c>
      <c r="H51" s="184"/>
      <c r="I51" s="184"/>
      <c r="J51" s="184"/>
      <c r="L51" s="184"/>
      <c r="N51" s="184"/>
      <c r="O51" s="184"/>
      <c r="P51" s="184"/>
      <c r="Q51" s="184"/>
    </row>
    <row r="52" spans="1:17" ht="20.100000000000001" customHeight="1" x14ac:dyDescent="0.25">
      <c r="A52" s="5" t="str">
        <f>HYPERLINK("#'Calcs - Manure sent off-site'!A1", "Calcs - Manure sent off-site")</f>
        <v>Calcs - Manure sent off-site</v>
      </c>
      <c r="D52" s="24" t="s">
        <v>251</v>
      </c>
      <c r="E52" s="226">
        <f>SUM(Q32:Q40)+N("Partial sum")</f>
        <v>5.8823999999999996</v>
      </c>
      <c r="F52" s="16" t="str">
        <f t="shared" si="3"/>
        <v>t CO2-e</v>
      </c>
      <c r="G52" s="184"/>
      <c r="H52" s="184"/>
      <c r="I52" s="184"/>
      <c r="J52" s="184"/>
      <c r="L52" s="184"/>
      <c r="N52" s="184"/>
      <c r="O52" s="184"/>
      <c r="P52" s="184"/>
      <c r="Q52" s="184"/>
    </row>
    <row r="53" spans="1:17" ht="20.100000000000001" customHeight="1" x14ac:dyDescent="0.25">
      <c r="G53" s="184"/>
      <c r="H53" s="184"/>
      <c r="I53" s="184"/>
      <c r="J53" s="184"/>
      <c r="L53" s="184"/>
      <c r="N53" s="184"/>
      <c r="O53" s="184"/>
      <c r="P53" s="184"/>
      <c r="Q53" s="184"/>
    </row>
    <row r="54" spans="1:17" ht="20.100000000000001" customHeight="1" x14ac:dyDescent="0.25">
      <c r="D54" s="223" t="s">
        <v>919</v>
      </c>
      <c r="E54" s="227"/>
      <c r="F54" s="225"/>
      <c r="G54" s="184"/>
      <c r="H54" s="184"/>
      <c r="I54" s="184"/>
      <c r="J54" s="184"/>
      <c r="L54" s="184"/>
      <c r="N54" s="184"/>
      <c r="O54" s="184"/>
      <c r="P54" s="184"/>
      <c r="Q54" s="184"/>
    </row>
    <row r="55" spans="1:17" ht="20.100000000000001" customHeight="1" x14ac:dyDescent="0.25">
      <c r="A55" s="83" t="s">
        <v>1</v>
      </c>
      <c r="D55" s="24" t="s">
        <v>906</v>
      </c>
      <c r="E55" s="226">
        <f>E43+E49</f>
        <v>29.070800000000002</v>
      </c>
      <c r="F55" s="16" t="str">
        <f t="shared" ref="F55:F58" si="4">$E$12</f>
        <v>t CO2-e</v>
      </c>
      <c r="G55" s="184"/>
      <c r="H55" s="184"/>
      <c r="I55" s="184"/>
      <c r="J55" s="184"/>
      <c r="L55" s="184"/>
      <c r="N55" s="184"/>
      <c r="O55" s="184"/>
      <c r="P55" s="184"/>
      <c r="Q55" s="184"/>
    </row>
    <row r="56" spans="1:17" ht="20.100000000000001" customHeight="1" x14ac:dyDescent="0.25">
      <c r="A56" s="5" t="str">
        <f>HYPERLINK("#'Constants - Dairy'!A1", "Constants - Dairy")</f>
        <v>Constants - Dairy</v>
      </c>
      <c r="D56" s="24" t="s">
        <v>907</v>
      </c>
      <c r="E56" s="226">
        <f>E44+E50</f>
        <v>7.2400000000000006E-2</v>
      </c>
      <c r="F56" s="16" t="str">
        <f t="shared" si="4"/>
        <v>t CO2-e</v>
      </c>
      <c r="H56" s="184"/>
    </row>
    <row r="57" spans="1:17" ht="20.100000000000001" customHeight="1" x14ac:dyDescent="0.25">
      <c r="A57" s="5" t="str">
        <f>HYPERLINK("#'Constants - Ag Residue'!A1", "Constants - Ag residue")</f>
        <v>Constants - Ag residue</v>
      </c>
      <c r="D57" s="24" t="s">
        <v>908</v>
      </c>
      <c r="E57" s="226">
        <f>E45+E51</f>
        <v>7.1400000000000005E-2</v>
      </c>
      <c r="F57" s="16" t="str">
        <f t="shared" si="4"/>
        <v>t CO2-e</v>
      </c>
      <c r="G57" s="184"/>
      <c r="H57" s="184"/>
      <c r="I57" s="184"/>
      <c r="J57" s="184"/>
      <c r="L57" s="184"/>
      <c r="N57" s="184"/>
      <c r="O57" s="184"/>
      <c r="P57" s="184"/>
      <c r="Q57" s="184"/>
    </row>
    <row r="58" spans="1:17" ht="20.100000000000001" customHeight="1" x14ac:dyDescent="0.25">
      <c r="A58" s="5" t="str">
        <f>HYPERLINK("#'Constants - Common Livestock'!A1", "Constants - Common Livestock")</f>
        <v>Constants - Common Livestock</v>
      </c>
      <c r="D58" s="24" t="s">
        <v>251</v>
      </c>
      <c r="E58" s="226">
        <f>E46+E52</f>
        <v>5.8823999999999996</v>
      </c>
      <c r="F58" s="16" t="str">
        <f t="shared" si="4"/>
        <v>t CO2-e</v>
      </c>
      <c r="G58" s="184"/>
      <c r="H58" s="184"/>
      <c r="I58" s="184"/>
      <c r="J58" s="184"/>
      <c r="L58" s="184"/>
      <c r="N58" s="184"/>
      <c r="O58" s="184"/>
      <c r="P58" s="184"/>
      <c r="Q58" s="184"/>
    </row>
    <row r="59" spans="1:17" ht="20.100000000000001" customHeight="1" x14ac:dyDescent="0.25">
      <c r="A59" s="5" t="str">
        <f>HYPERLINK("#'Constants - Electricity'!A1", "Constants - Electricity")</f>
        <v>Constants - Electricity</v>
      </c>
      <c r="G59" s="184"/>
      <c r="H59" s="184"/>
      <c r="I59" s="184"/>
      <c r="J59" s="184"/>
      <c r="L59" s="184"/>
      <c r="N59" s="184"/>
      <c r="O59" s="184"/>
      <c r="P59" s="184"/>
      <c r="Q59" s="184"/>
    </row>
    <row r="60" spans="1:17" ht="20.100000000000001" customHeight="1" x14ac:dyDescent="0.25">
      <c r="A60" s="5" t="str">
        <f>HYPERLINK("#'Constants - Fertiliser'!A1", "Constants - Fertiliser")</f>
        <v>Constants - Fertiliser</v>
      </c>
      <c r="G60" s="184"/>
      <c r="H60" s="184"/>
      <c r="I60" s="184"/>
      <c r="J60" s="184"/>
      <c r="L60" s="184"/>
      <c r="N60" s="184"/>
      <c r="O60" s="184"/>
      <c r="P60" s="184"/>
      <c r="Q60" s="184"/>
    </row>
    <row r="61" spans="1:17" ht="20.100000000000001" customHeight="1" x14ac:dyDescent="0.25">
      <c r="A61" s="5" t="str">
        <f>HYPERLINK("#'Constants - Fuel'!A1", "Constants - Fuel")</f>
        <v>Constants - Fuel</v>
      </c>
      <c r="G61" s="184"/>
      <c r="H61" s="184"/>
      <c r="I61" s="184"/>
      <c r="J61" s="184"/>
      <c r="L61" s="184"/>
      <c r="N61" s="184"/>
      <c r="O61" s="184"/>
      <c r="P61" s="184"/>
      <c r="Q61" s="184"/>
    </row>
    <row r="62" spans="1:17" ht="20.100000000000001" customHeight="1" x14ac:dyDescent="0.25">
      <c r="A62" s="5" t="str">
        <f>HYPERLINK("#'Constants - Scope 3'!A1", "Constants - Scope 3")</f>
        <v>Constants - Scope 3</v>
      </c>
      <c r="G62" s="184"/>
      <c r="H62" s="184"/>
      <c r="I62" s="184"/>
      <c r="J62" s="184"/>
      <c r="L62" s="184"/>
      <c r="N62" s="184"/>
      <c r="O62" s="184"/>
      <c r="P62" s="184"/>
      <c r="Q62" s="184"/>
    </row>
    <row r="63" spans="1:17" ht="20.100000000000001" customHeight="1" x14ac:dyDescent="0.25">
      <c r="A63" s="5" t="str">
        <f>HYPERLINK("#'Constants - Common'!A1", "Constants - Common")</f>
        <v>Constants - Common</v>
      </c>
      <c r="G63" s="184"/>
      <c r="H63" s="184"/>
      <c r="I63" s="184"/>
      <c r="J63" s="184"/>
      <c r="L63" s="184"/>
      <c r="N63" s="184"/>
      <c r="O63" s="184"/>
      <c r="P63" s="184"/>
      <c r="Q63" s="184"/>
    </row>
    <row r="64" spans="1:17" ht="20.100000000000001" customHeight="1" x14ac:dyDescent="0.25">
      <c r="A64" s="5" t="str">
        <f>HYPERLINK("#'Constants - Solid Waste'!A1", "Constants - Solid Waste")</f>
        <v>Constants - Solid Waste</v>
      </c>
      <c r="G64" s="184"/>
      <c r="H64" s="184"/>
      <c r="I64" s="184"/>
      <c r="J64" s="184"/>
      <c r="L64" s="184"/>
      <c r="N64" s="184"/>
      <c r="O64" s="184"/>
      <c r="P64" s="184"/>
      <c r="Q64" s="184"/>
    </row>
    <row r="65" spans="1:17" ht="20.100000000000001" customHeight="1" x14ac:dyDescent="0.25">
      <c r="A65" s="5" t="str">
        <f>HYPERLINK("#'Acknowledgements'!A1", "Acknowledgements")</f>
        <v>Acknowledgements</v>
      </c>
      <c r="G65" s="184"/>
      <c r="H65" s="184"/>
      <c r="I65" s="184"/>
      <c r="J65" s="184"/>
      <c r="L65" s="184"/>
      <c r="N65" s="184"/>
      <c r="O65" s="184"/>
      <c r="P65" s="184"/>
      <c r="Q65" s="184"/>
    </row>
    <row r="66" spans="1:17" ht="20.100000000000001" customHeight="1" x14ac:dyDescent="0.25">
      <c r="G66" s="184"/>
      <c r="H66" s="184"/>
      <c r="I66" s="184"/>
      <c r="J66" s="184"/>
      <c r="L66" s="184"/>
      <c r="N66" s="184"/>
      <c r="O66" s="184"/>
      <c r="P66" s="184"/>
      <c r="Q66" s="184"/>
    </row>
    <row r="67" spans="1:17" ht="20.100000000000001" customHeight="1" x14ac:dyDescent="0.25">
      <c r="G67" s="184"/>
    </row>
    <row r="68" spans="1:17" ht="20.100000000000001" customHeight="1" x14ac:dyDescent="0.25">
      <c r="G68" s="184"/>
    </row>
    <row r="69" spans="1:17" ht="20.100000000000001" customHeight="1" x14ac:dyDescent="0.25">
      <c r="G69" s="184"/>
    </row>
    <row r="70" spans="1:17" ht="20.100000000000001" customHeight="1" x14ac:dyDescent="0.25">
      <c r="G70" s="184"/>
    </row>
    <row r="71" spans="1:17" ht="20.100000000000001" customHeight="1" x14ac:dyDescent="0.25">
      <c r="G71" s="184"/>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3367-B5A0-452E-9E4B-64BF83858355}">
  <sheetPr>
    <tabColor rgb="FF008000"/>
  </sheetPr>
  <dimension ref="A1:L342"/>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1001</v>
      </c>
    </row>
    <row r="2" spans="1:12" s="3" customFormat="1" ht="20.100000000000001" customHeight="1" x14ac:dyDescent="0.25">
      <c r="A2"/>
    </row>
    <row r="3" spans="1:12" ht="20.100000000000001" customHeight="1" x14ac:dyDescent="0.25">
      <c r="A3" s="5" t="str">
        <f>HYPERLINK("#'Home'!A1", "Home")</f>
        <v>Home</v>
      </c>
      <c r="C3" s="22"/>
      <c r="D3" s="22" t="s">
        <v>129</v>
      </c>
      <c r="E3" s="22"/>
      <c r="F3" s="22"/>
      <c r="G3" s="22"/>
      <c r="H3" s="22"/>
      <c r="I3" s="22"/>
      <c r="J3" s="22"/>
      <c r="K3" s="22"/>
      <c r="L3" s="22"/>
    </row>
    <row r="4" spans="1:12" ht="20.100000000000001" customHeight="1" x14ac:dyDescent="0.25">
      <c r="A4" s="5" t="str">
        <f>HYPERLINK("#'Results - Activity period'!A1", "Results - Activity period")</f>
        <v>Results - Activity period</v>
      </c>
    </row>
    <row r="5" spans="1:12" ht="20.100000000000001" customHeight="1" x14ac:dyDescent="0.25">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5">
      <c r="A6" s="5" t="str">
        <f>HYPERLINK("#'Results'!A1", "Results")</f>
        <v>Results</v>
      </c>
      <c r="D6" s="17" t="str" cm="1">
        <f t="array" ref="D6">WasteSolid_Equations.VEERG_10_1_1_1__2_MassOfWasteFromVolume_Source()</f>
        <v>VEERG 2026: 10.1.1.1, Equation (2)</v>
      </c>
    </row>
    <row r="7" spans="1:12" ht="20.100000000000001" customHeight="1" x14ac:dyDescent="0.25">
      <c r="D7" s="117" t="s">
        <v>343</v>
      </c>
      <c r="E7" s="117" t="str" cm="1">
        <f t="array" aca="1" ref="E7" ca="1">Common_InputFunctions.Utility_DisplayFunctionName(I21)</f>
        <v>=WasteSolid_Equations.VEERG_10_1_1_1__2_MassOfWasteFromVolume</v>
      </c>
    </row>
    <row r="8" spans="1:12" ht="20.100000000000001" customHeight="1" x14ac:dyDescent="0.25"/>
    <row r="9" spans="1:12" ht="20.100000000000001" customHeight="1" x14ac:dyDescent="0.25">
      <c r="A9" s="7" t="s">
        <v>0</v>
      </c>
    </row>
    <row r="10" spans="1:12" ht="20.100000000000001" customHeight="1" x14ac:dyDescent="0.25">
      <c r="A10" s="5" t="str">
        <f>HYPERLINK("#'Input - Enterprise'!A1", "Enterprise")</f>
        <v>Enterprise</v>
      </c>
      <c r="D10" s="76" t="s">
        <v>344</v>
      </c>
      <c r="E10" s="1" t="str" cm="1">
        <f t="array" ref="E10">WasteSolid_Equations.VEERG_10_1_1_1__2_MassOfWasteFromVolume_Variable()</f>
        <v>Q_wt</v>
      </c>
    </row>
    <row r="11" spans="1:12" ht="20.100000000000001" customHeight="1" x14ac:dyDescent="0.25">
      <c r="A11" s="5" t="str">
        <f>HYPERLINK("#'Input - Site'!A1", "Site")</f>
        <v>Site</v>
      </c>
      <c r="D11" s="76" t="s">
        <v>118</v>
      </c>
      <c r="E11" s="9" t="str" cm="1">
        <f t="array" ref="E11">WasteSolid_Equations.VEERG_10_1_1_1__2_MassOfWasteFromVolume_Unit()</f>
        <v>t</v>
      </c>
    </row>
    <row r="12" spans="1:12" ht="20.100000000000001" customHeight="1" x14ac:dyDescent="0.25">
      <c r="A12" s="5" t="str">
        <f>HYPERLINK("#'Input - Dairy'!A1", "Dairy")</f>
        <v>Dairy</v>
      </c>
    </row>
    <row r="13" spans="1:12" ht="20.100000000000001" customHeight="1" x14ac:dyDescent="0.25">
      <c r="A13" s="5" t="str">
        <f>HYPERLINK("#'Input - Livestock sales'!A1", "Livestock sales")</f>
        <v>Livestock sales</v>
      </c>
      <c r="D13" s="119" t="str" cm="1">
        <f t="array" ref="D13:E16">_xlfn.CHOOSECOLS(WasteSolid_Equations.VEERG_10_1_1_1__2_MassOfWasteFromVolume_Arguments(),1,2)</f>
        <v>V_wt</v>
      </c>
      <c r="E13" s="124" t="str">
        <v>volume of solid waste type w being sent to treatment facility t</v>
      </c>
      <c r="F13" s="125"/>
      <c r="G13" s="119" t="str" cm="1">
        <f t="array" ref="G13:H16">_xlfn.CHOOSECOLS(WasteSolid_Equations.VEERG_10_1_1_1__2_MassOfWasteFromVolume_Arguments(),3,4)</f>
        <v>m3</v>
      </c>
      <c r="H13" s="120" t="str">
        <v>Input</v>
      </c>
      <c r="I13" s="126" t="str" cm="1">
        <f t="array" aca="1" ref="I13" ca="1">HYPERLINK(Common_InputFunctions.Utility_SourceHyperlink($D$18),$D$18)</f>
        <v>Table_V_w_t_onsite</v>
      </c>
      <c r="J13" s="126" t="str" cm="1">
        <f t="array" aca="1" ref="J13" ca="1">HYPERLINK(Common_InputFunctions.Utility_SourceHyperlink($D$56),$D$56)</f>
        <v>Table_V_w_t_offsite</v>
      </c>
    </row>
    <row r="14" spans="1:12" ht="20.100000000000001" customHeight="1" x14ac:dyDescent="0.25">
      <c r="A14" s="5" t="str">
        <f>HYPERLINK("#'Input - Dairy cattle purchases'!A1", "Dairy cattle purchases")</f>
        <v>Dairy cattle purchases</v>
      </c>
      <c r="D14" s="119" t="str">
        <v>VTM_w</v>
      </c>
      <c r="E14" s="124" t="str">
        <v>conversion factor of volume to mass for waste type w</v>
      </c>
      <c r="F14" s="125"/>
      <c r="G14" s="119" t="str">
        <v>t/m3</v>
      </c>
      <c r="H14" s="127" t="str">
        <v>Constant</v>
      </c>
      <c r="I14" s="126" t="str" cm="1">
        <f t="array" aca="1" ref="I14" ca="1">HYPERLINK(Common_InputFunctions.Utility_SourceHyperlink($D$18),$D$18)</f>
        <v>Table_V_w_t_onsite</v>
      </c>
      <c r="J14" s="126" t="str" cm="1">
        <f t="array" aca="1" ref="J14" ca="1">HYPERLINK(Common_InputFunctions.Utility_SourceHyperlink($D$56),$D$56)</f>
        <v>Table_V_w_t_offsite</v>
      </c>
    </row>
    <row r="15" spans="1:12" ht="20.100000000000001" customHeight="1" x14ac:dyDescent="0.25">
      <c r="A15" s="5" t="str">
        <f>HYPERLINK("#'Input - Pasture'!A1", "Pasture")</f>
        <v>Pasture</v>
      </c>
      <c r="D15" s="119" t="str">
        <v>w</v>
      </c>
      <c r="E15" s="124" t="str">
        <v>waste type</v>
      </c>
      <c r="F15" s="125"/>
      <c r="G15" s="119" t="str">
        <v/>
      </c>
      <c r="H15" s="120" t="str">
        <v>Input</v>
      </c>
      <c r="I15" s="126" t="str" cm="1">
        <f t="array" aca="1" ref="I15" ca="1">HYPERLINK(Common_InputFunctions.Utility_SourceHyperlink($D$18),$D$18)</f>
        <v>Table_V_w_t_onsite</v>
      </c>
      <c r="J15" s="126" t="str" cm="1">
        <f t="array" aca="1" ref="J15" ca="1">HYPERLINK(Common_InputFunctions.Utility_SourceHyperlink($D$56),$D$56)</f>
        <v>Table_V_w_t_offsite</v>
      </c>
    </row>
    <row r="16" spans="1:12" ht="20.100000000000001" customHeight="1" x14ac:dyDescent="0.25">
      <c r="A16" s="5" t="str">
        <f>HYPERLINK("#'Input - Fert Prod System'!A1", "Fert Prod System")</f>
        <v>Fert Prod System</v>
      </c>
      <c r="D16" s="119" t="str">
        <v>t</v>
      </c>
      <c r="E16" s="124" t="str">
        <v>treatment facility</v>
      </c>
      <c r="F16" s="125"/>
      <c r="G16" s="119" t="str">
        <v/>
      </c>
      <c r="H16" s="120" t="str">
        <v>Input</v>
      </c>
      <c r="I16" s="126" t="str" cm="1">
        <f t="array" aca="1" ref="I16" ca="1">HYPERLINK(Common_InputFunctions.Utility_SourceHyperlink($D$18),$D$18)</f>
        <v>Table_V_w_t_onsite</v>
      </c>
      <c r="J16" s="126" t="str" cm="1">
        <f t="array" aca="1" ref="J16" ca="1">HYPERLINK(Common_InputFunctions.Utility_SourceHyperlink($D$56),$D$56)</f>
        <v>Table_V_w_t_offsite</v>
      </c>
    </row>
    <row r="17" spans="1:9" ht="20.100000000000001" customHeight="1" x14ac:dyDescent="0.25">
      <c r="A17" s="5" t="str">
        <f>HYPERLINK("#'Input - Fertiliser'!A1", "Fertiliser")</f>
        <v>Fertiliser</v>
      </c>
    </row>
    <row r="18" spans="1:9" ht="20.100000000000001" customHeight="1" x14ac:dyDescent="0.25">
      <c r="A18" s="5" t="str">
        <f>HYPERLINK("#'Input - Fuel'!A1", "Fuel")</f>
        <v>Fuel</v>
      </c>
      <c r="D18" s="121" t="s">
        <v>1002</v>
      </c>
    </row>
    <row r="19" spans="1:9" ht="20.100000000000001" customHeight="1" x14ac:dyDescent="0.25">
      <c r="A19" s="5" t="str">
        <f>HYPERLINK("#'Input - Electricity'!A1", "Electricity")</f>
        <v>Electricity</v>
      </c>
      <c r="D19" s="122" t="s">
        <v>1003</v>
      </c>
    </row>
    <row r="20" spans="1:9" ht="20.100000000000001" customHeight="1" x14ac:dyDescent="0.25">
      <c r="A20" s="5" t="str">
        <f>HYPERLINK("#'Input - Common farm inputs'!A1", "Common farm inputs")</f>
        <v>Common farm inputs</v>
      </c>
      <c r="D20" s="81" t="s">
        <v>1004</v>
      </c>
      <c r="E20" s="81" t="s">
        <v>1005</v>
      </c>
      <c r="F20" s="81"/>
      <c r="G20" s="81" t="s">
        <v>1006</v>
      </c>
      <c r="H20" s="123" t="s">
        <v>1007</v>
      </c>
      <c r="I20" s="123" t="s">
        <v>1008</v>
      </c>
    </row>
    <row r="21" spans="1:9" ht="20.100000000000001" customHeight="1" x14ac:dyDescent="0.25">
      <c r="A21" s="5" t="str">
        <f>HYPERLINK("#'Input - Crop pasture farm input'!A1", "Crop pasture farm input")</f>
        <v>Crop pasture farm input</v>
      </c>
      <c r="D21" s="119" t="str" cm="1">
        <f t="array" ref="D21:D54">Table_SourceData_WasteSolid_WasteTreatmentEFs[Treatment type t]</f>
        <v>Landfill</v>
      </c>
      <c r="E21" s="124" t="str" cm="1">
        <f t="array" ref="E21:E54">Table_SourceData_WasteSolid_WasteTreatmentEFs[Waste type w]</f>
        <v>Food waste (including animal carcasses, spoiled animal feed or crop)</v>
      </c>
      <c r="F21" s="179"/>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5">
      <c r="A22" s="5" t="str">
        <f>HYPERLINK("#'Input - Livestock farm Inputs'!A1", "Livestock farm Inputs")</f>
        <v>Livestock farm Inputs</v>
      </c>
      <c r="D22" s="119" t="str">
        <v>Landfill</v>
      </c>
      <c r="E22" s="124" t="str">
        <v>Paper and cardboard</v>
      </c>
      <c r="F22" s="179"/>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5">
      <c r="A23" s="5" t="str">
        <f>HYPERLINK("#'Input - Freight'!A1", "Freight")</f>
        <v>Freight</v>
      </c>
      <c r="D23" s="119" t="str">
        <v>Landfill</v>
      </c>
      <c r="E23" s="124" t="str">
        <v>Green waste (including crop residues or prunings)</v>
      </c>
      <c r="F23" s="179"/>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5">
      <c r="A24" s="5" t="str">
        <f>HYPERLINK("#'Input - Solid waste'!A1", "Solid waste")</f>
        <v>Solid waste</v>
      </c>
      <c r="D24" s="119" t="str">
        <v>Landfill</v>
      </c>
      <c r="E24" s="124" t="str">
        <v>Wood</v>
      </c>
      <c r="F24" s="179"/>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5">
      <c r="A25" s="5" t="str">
        <f>HYPERLINK("#'Input - Manure sent off-site'!A1", "Manure sent off-site")</f>
        <v>Manure sent off-site</v>
      </c>
      <c r="D25" s="119" t="str">
        <v>Landfill</v>
      </c>
      <c r="E25" s="124" t="str">
        <v>Textiles</v>
      </c>
      <c r="F25" s="179"/>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5">
      <c r="A26" s="5" t="str">
        <f>HYPERLINK("#'Input - Data quality'!A1", "Data quality")</f>
        <v>Data quality</v>
      </c>
      <c r="D26" s="119" t="str">
        <v>Landfill</v>
      </c>
      <c r="E26" s="124" t="str">
        <v>Sludge</v>
      </c>
      <c r="F26" s="179"/>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5">
      <c r="D27" s="119" t="str">
        <v>Landfill</v>
      </c>
      <c r="E27" s="124" t="str">
        <v>Rubber and leather</v>
      </c>
      <c r="F27" s="179"/>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5">
      <c r="D28" s="119" t="str">
        <v>Landfill</v>
      </c>
      <c r="E28" s="124" t="str">
        <v>Inert waste (including concrete, metal, plastic or glass)</v>
      </c>
      <c r="F28" s="179"/>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5">
      <c r="A29" s="6" t="s">
        <v>2</v>
      </c>
      <c r="D29" s="119" t="str">
        <v>Landfill</v>
      </c>
      <c r="E29" s="124" t="str">
        <v>Municipal solid waste</v>
      </c>
      <c r="F29" s="179"/>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5">
      <c r="A30" s="5" t="str">
        <f>HYPERLINK("#'3.3.1.1-2 Enteric Methane'!A1", "3.3.1.1-2 Enteric methane")</f>
        <v>3.3.1.1-2 Enteric methane</v>
      </c>
      <c r="D30" s="119" t="str">
        <v>Landfill</v>
      </c>
      <c r="E30" s="124" t="str">
        <v>Commercial and industrial waste</v>
      </c>
      <c r="F30" s="179"/>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5">
      <c r="A31" s="5" t="str">
        <f>HYPERLINK("#'4.3.1.1-2 Methane'!A1", "4.3.1.1-2 Manure methane")</f>
        <v>4.3.1.1-2 Manure methane</v>
      </c>
      <c r="D31" s="119" t="str">
        <v>Landfill</v>
      </c>
      <c r="E31" s="124" t="str">
        <v>Construction and demolition waste</v>
      </c>
      <c r="F31" s="179"/>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5">
      <c r="A32" s="5" t="str">
        <f>HYPERLINK("#'4.3.1.3-4 Direct N20'!A1", "4.3.1.3-4 Direct N20")</f>
        <v>4.3.1.3-4 Direct N20</v>
      </c>
      <c r="D32" s="119" t="str">
        <v>Incineration</v>
      </c>
      <c r="E32" s="124" t="str">
        <v>Food waste, green waste, wood, sludge</v>
      </c>
      <c r="F32" s="179"/>
      <c r="G32" s="15" t="s">
        <v>728</v>
      </c>
      <c r="H32" s="15" t="s">
        <v>728</v>
      </c>
      <c r="I32" s="15" t="s">
        <v>728</v>
      </c>
    </row>
    <row r="33" spans="1:9" ht="20.100000000000001" customHeight="1" x14ac:dyDescent="0.25">
      <c r="A33" s="5" t="str">
        <f>HYPERLINK("#'4.3.1.5 Atmos deposition'!A1", "4.3.1.5 Atmos deposition")</f>
        <v>4.3.1.5 Atmos deposition</v>
      </c>
      <c r="D33" s="119" t="str">
        <v>Incineration</v>
      </c>
      <c r="E33" s="124" t="str">
        <v>Food waste (including animal carcasses, spoiled animal feed or crop)</v>
      </c>
      <c r="F33" s="179"/>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5">
      <c r="A34" s="5" t="str">
        <f>HYPERLINK("#'4.3.1.6-7 Leaching and runoff'!A1", "4.3.1.6-7 Leaching &amp; runoff")</f>
        <v>4.3.1.6-7 Leaching &amp; runoff</v>
      </c>
      <c r="D34" s="119" t="str">
        <v>Incineration</v>
      </c>
      <c r="E34" s="124" t="str">
        <v>Green waste (including crop residues or prunings)</v>
      </c>
      <c r="F34" s="179"/>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5">
      <c r="A35" s="5" t="str">
        <f>HYPERLINK("#'4.3.1.8 Manure applied to soils'!A1", "4.3.1.8 Manure applied to soils")</f>
        <v>4.3.1.8 Manure applied to soils</v>
      </c>
      <c r="D35" s="119" t="str">
        <v>Incineration</v>
      </c>
      <c r="E35" s="124" t="str">
        <v>Wood</v>
      </c>
      <c r="F35" s="179"/>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5">
      <c r="A36" s="5" t="str">
        <f>HYPERLINK("#'4.3.1.9 Soil direct N2O'!A1", "4.3.1.9 Soil direct N2O")</f>
        <v>4.3.1.9 Soil direct N2O</v>
      </c>
      <c r="D36" s="119" t="str">
        <v>Incineration</v>
      </c>
      <c r="E36" s="124" t="str">
        <v>Sludge</v>
      </c>
      <c r="F36" s="179"/>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5">
      <c r="A37" s="5" t="str">
        <f>HYPERLINK("#'4.3.1.10-11 Soil Atmos Dep'!A1", "4.3.1.10-11 Soil Atmos Deposition")</f>
        <v>4.3.1.10-11 Soil Atmos Deposition</v>
      </c>
      <c r="D37" s="119" t="str">
        <v>Incineration</v>
      </c>
      <c r="E37" s="124" t="str">
        <v>Paper and cardboard</v>
      </c>
      <c r="F37" s="179"/>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5">
      <c r="A38" s="5" t="str">
        <f>HYPERLINK("#'4.3.1.12-13 Soil leach runoff'!A1", "4.3.1.12-13 Soil leach &amp; runoff")</f>
        <v>4.3.1.12-13 Soil leach &amp; runoff</v>
      </c>
      <c r="D38" s="119" t="str">
        <v>Incineration</v>
      </c>
      <c r="E38" s="124" t="str">
        <v>Textiles</v>
      </c>
      <c r="F38" s="179"/>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5">
      <c r="A39" s="5" t="str">
        <f>HYPERLINK("#'5.1.1.1-2 Inorganic fert N2O'!A1", "5.1.1.1-2 Inorganic fert N2O")</f>
        <v>5.1.1.1-2 Inorganic fert N2O</v>
      </c>
      <c r="D39" s="119" t="str">
        <v>Incineration</v>
      </c>
      <c r="E39" s="124" t="str">
        <v>Rubber and leather</v>
      </c>
      <c r="F39" s="179"/>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5">
      <c r="A40" s="5" t="str">
        <f>HYPERLINK("#'5.1.1.3-4 Inorganic fert CO2'!A1", "5.1.1.3-4 Inorganic fert CO2")</f>
        <v>5.1.1.3-4 Inorganic fert CO2</v>
      </c>
      <c r="D40" s="119" t="str">
        <v>Incineration</v>
      </c>
      <c r="E40" s="119" t="str">
        <v>Inert waste (including concrete, metal, plastic or glass)</v>
      </c>
      <c r="F40" s="119"/>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5">
      <c r="A41" s="5" t="str">
        <f>HYPERLINK("#'5.2.1.1-2 Organic Fert N2O'!A1", "5.2.1.1-2 Organic fert N2O")</f>
        <v>5.2.1.1-2 Organic fert N2O</v>
      </c>
      <c r="D41" s="119" t="str">
        <v>Incineration</v>
      </c>
      <c r="E41" s="124" t="str">
        <v>Municipal solid waste</v>
      </c>
      <c r="F41" s="125"/>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5">
      <c r="A42" s="5" t="str">
        <f>HYPERLINK("#'5.3.1.1-2 Lime CO2'!A1", "5.3.1.1-2 Lime CO2")</f>
        <v>5.3.1.1-2 Lime CO2</v>
      </c>
      <c r="D42" s="119" t="str">
        <v>Incineration</v>
      </c>
      <c r="E42" s="124" t="str">
        <v>Commercial and industrial waste</v>
      </c>
      <c r="F42" s="125"/>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5">
      <c r="A43" s="5" t="str">
        <f>HYPERLINK("#'5.4.1.1-4 Atmos deposition'!A1", "5.4.1.1-4 Atmos. deposition")</f>
        <v>5.4.1.1-4 Atmos. deposition</v>
      </c>
      <c r="D43" s="119" t="str">
        <v>Composting</v>
      </c>
      <c r="E43" s="124" t="str">
        <v>All organic waste</v>
      </c>
      <c r="F43" s="125"/>
      <c r="G43" s="15" t="s">
        <v>728</v>
      </c>
      <c r="H43" s="15" t="s">
        <v>728</v>
      </c>
      <c r="I43" s="15" t="s">
        <v>728</v>
      </c>
    </row>
    <row r="44" spans="1:9" ht="20.100000000000001" customHeight="1" x14ac:dyDescent="0.25">
      <c r="A44" s="5" t="str">
        <f>HYPERLINK("#'5.5.1.1-2 Leaching and runoff'!A1", "5.5.1.1-2 Leaching &amp; runoff")</f>
        <v>5.5.1.1-2 Leaching &amp; runoff</v>
      </c>
      <c r="D44" s="119" t="str">
        <v>Composting</v>
      </c>
      <c r="E44" s="124" t="str">
        <v>Food waste (including animal carcasses, spoiled animal feed or crop)</v>
      </c>
      <c r="F44" s="125"/>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5">
      <c r="A45" s="5" t="str">
        <f>HYPERLINK("#'6.2.1.1-2 Pasture residue N2O'!A1", "6.2.1.1-2 Pasture residue N2O")</f>
        <v>6.2.1.1-2 Pasture residue N2O</v>
      </c>
      <c r="D45" s="119" t="str">
        <v>Composting</v>
      </c>
      <c r="E45" s="124" t="str">
        <v>Green waste (including crop residues or prunings)</v>
      </c>
      <c r="F45" s="125"/>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5">
      <c r="A46" s="5" t="str">
        <f>HYPERLINK("#'6.3.1.1-2 Leach runoff pasture'!A1", "6.3.1.1-2 Leach &amp; runoff (pasture)")</f>
        <v>6.3.1.1-2 Leach &amp; runoff (pasture)</v>
      </c>
      <c r="D46" s="119" t="str">
        <v>Composting</v>
      </c>
      <c r="E46" s="124" t="str">
        <v>Wood</v>
      </c>
      <c r="F46" s="125"/>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5">
      <c r="A47" s="5" t="str">
        <f>HYPERLINK("#'8.1.1.1-2 Transport fuel'!A1", "8.1.1.1-2 Transport fuel")</f>
        <v>8.1.1.1-2 Transport fuel</v>
      </c>
      <c r="D47" s="119" t="str">
        <v>Composting</v>
      </c>
      <c r="E47" s="124" t="str">
        <v>Sludge</v>
      </c>
      <c r="F47" s="125"/>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5">
      <c r="A48" s="5" t="str">
        <f>HYPERLINK("#'8.2.1.1-2 Stationary fuel'!A1", "8.2.1.1-2 Stationary fuel")</f>
        <v>8.2.1.1-2 Stationary fuel</v>
      </c>
      <c r="D48" s="119" t="str">
        <v>Composting</v>
      </c>
      <c r="E48" s="124" t="str">
        <v>Paper and cardboard</v>
      </c>
      <c r="F48" s="125"/>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5">
      <c r="A49" s="118" t="str">
        <f>HYPERLINK("#'10.1.1-2 Solid waste treatment'!A1", "10.1.1.1-2 Solid waste")</f>
        <v>10.1.1.1-2 Solid waste</v>
      </c>
      <c r="D49" s="119" t="str">
        <v>Anaerobic digestion</v>
      </c>
      <c r="E49" s="124" t="str">
        <v>All organic waste</v>
      </c>
      <c r="F49" s="125"/>
      <c r="G49" s="15" t="s">
        <v>728</v>
      </c>
      <c r="H49" s="15" t="s">
        <v>728</v>
      </c>
      <c r="I49" s="15" t="s">
        <v>728</v>
      </c>
    </row>
    <row r="50" spans="1:9" ht="20.100000000000001" customHeight="1" x14ac:dyDescent="0.25">
      <c r="A50" s="5" t="str">
        <f>HYPERLINK("#'14.1.1-2 Purchased electricity'!A1", "14.1.1-2 Purchased electricity")</f>
        <v>14.1.1-2 Purchased electricity</v>
      </c>
      <c r="D50" s="119" t="str">
        <v>Anaerobic digestion</v>
      </c>
      <c r="E50" s="124" t="str">
        <v>Food waste (including animal carcasses, spoiled animal feed or crop)</v>
      </c>
      <c r="F50" s="125"/>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5">
      <c r="A51" s="5" t="str">
        <f>HYPERLINK("#'15 Scope 3'!A1", "15 Scope 3")</f>
        <v>15 Scope 3</v>
      </c>
      <c r="D51" s="119" t="str">
        <v>Anaerobic digestion</v>
      </c>
      <c r="E51" s="124" t="str">
        <v>Green waste (including crop residues or prunings)</v>
      </c>
      <c r="F51" s="125"/>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5">
      <c r="A52" s="5" t="str">
        <f>HYPERLINK("#'Calcs - Manure sent off-site'!A1", "Calcs - Manure sent off-site")</f>
        <v>Calcs - Manure sent off-site</v>
      </c>
      <c r="D52" s="119" t="str">
        <v>Anaerobic digestion</v>
      </c>
      <c r="E52" s="124" t="str">
        <v>Wood</v>
      </c>
      <c r="F52" s="125"/>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5">
      <c r="D53" s="119" t="str">
        <v>Anaerobic digestion</v>
      </c>
      <c r="E53" s="124" t="str">
        <v>Sludge</v>
      </c>
      <c r="F53" s="125"/>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5">
      <c r="D54" s="119" t="str">
        <v>Anaerobic digestion</v>
      </c>
      <c r="E54" s="124" t="str">
        <v>Paper and cardboard</v>
      </c>
      <c r="F54" s="125"/>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5">
      <c r="A55" s="83" t="s">
        <v>1</v>
      </c>
    </row>
    <row r="56" spans="1:9" ht="20.100000000000001" customHeight="1" x14ac:dyDescent="0.25">
      <c r="A56" s="5" t="str">
        <f>HYPERLINK("#'Constants - Dairy'!A1", "Constants - Dairy")</f>
        <v>Constants - Dairy</v>
      </c>
      <c r="D56" s="121" t="s">
        <v>1009</v>
      </c>
    </row>
    <row r="57" spans="1:9" ht="20.100000000000001" customHeight="1" x14ac:dyDescent="0.25">
      <c r="A57" s="5" t="str">
        <f>HYPERLINK("#'Constants - Ag Residue'!A1", "Constants - Ag residue")</f>
        <v>Constants - Ag residue</v>
      </c>
      <c r="D57" s="122" t="s">
        <v>1010</v>
      </c>
    </row>
    <row r="58" spans="1:9" ht="20.100000000000001" customHeight="1" x14ac:dyDescent="0.25">
      <c r="A58" s="5" t="str">
        <f>HYPERLINK("#'Constants - Common Livestock'!A1", "Constants - Common Livestock")</f>
        <v>Constants - Common Livestock</v>
      </c>
      <c r="D58" s="81" t="s">
        <v>1004</v>
      </c>
      <c r="E58" s="81" t="s">
        <v>1005</v>
      </c>
      <c r="F58" s="81"/>
      <c r="G58" s="81" t="s">
        <v>1006</v>
      </c>
      <c r="H58" s="123" t="s">
        <v>1007</v>
      </c>
      <c r="I58" s="123" t="s">
        <v>1008</v>
      </c>
    </row>
    <row r="59" spans="1:9" ht="20.100000000000001" customHeight="1" x14ac:dyDescent="0.25">
      <c r="A59" s="5" t="str">
        <f>HYPERLINK("#'Constants - Electricity'!A1", "Constants - Electricity")</f>
        <v>Constants - Electricity</v>
      </c>
      <c r="D59" s="119" t="str" cm="1">
        <f t="array" ref="D59:D92">Table_SourceData_WasteSolid_WasteTreatmentEFs[Treatment type t]</f>
        <v>Landfill</v>
      </c>
      <c r="E59" s="124" t="str" cm="1">
        <f t="array" ref="E59:E92">Table_SourceData_WasteSolid_WasteTreatmentEFs[Waste type w]</f>
        <v>Food waste (including animal carcasses, spoiled animal feed or crop)</v>
      </c>
      <c r="F59" s="179"/>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5">
      <c r="A60" s="5" t="str">
        <f>HYPERLINK("#'Constants - Fertiliser'!A1", "Constants - Fertiliser")</f>
        <v>Constants - Fertiliser</v>
      </c>
      <c r="D60" s="119" t="str">
        <v>Landfill</v>
      </c>
      <c r="E60" s="124" t="str">
        <v>Paper and cardboard</v>
      </c>
      <c r="F60" s="179"/>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5">
      <c r="A61" s="5" t="str">
        <f>HYPERLINK("#'Constants - Fuel'!A1", "Constants - Fuel")</f>
        <v>Constants - Fuel</v>
      </c>
      <c r="D61" s="119" t="str">
        <v>Landfill</v>
      </c>
      <c r="E61" s="124" t="str">
        <v>Green waste (including crop residues or prunings)</v>
      </c>
      <c r="F61" s="179"/>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5">
      <c r="A62" s="5" t="str">
        <f>HYPERLINK("#'Constants - Scope 3'!A1", "Constants - Scope 3")</f>
        <v>Constants - Scope 3</v>
      </c>
      <c r="D62" s="119" t="str">
        <v>Landfill</v>
      </c>
      <c r="E62" s="124" t="str">
        <v>Wood</v>
      </c>
      <c r="F62" s="179"/>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5">
      <c r="A63" s="5" t="str">
        <f>HYPERLINK("#'Constants - Common'!A1", "Constants - Common")</f>
        <v>Constants - Common</v>
      </c>
      <c r="D63" s="119" t="str">
        <v>Landfill</v>
      </c>
      <c r="E63" s="124" t="str">
        <v>Textiles</v>
      </c>
      <c r="F63" s="179"/>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5">
      <c r="A64" s="5" t="str">
        <f>HYPERLINK("#'Constants - Solid Waste'!A1", "Constants - Solid Waste")</f>
        <v>Constants - Solid Waste</v>
      </c>
      <c r="D64" s="119" t="str">
        <v>Landfill</v>
      </c>
      <c r="E64" s="124" t="str">
        <v>Sludge</v>
      </c>
      <c r="F64" s="179"/>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5">
      <c r="A65" s="5" t="str">
        <f>HYPERLINK("#'Acknowledgements'!A1", "Acknowledgements")</f>
        <v>Acknowledgements</v>
      </c>
      <c r="D65" s="119" t="str">
        <v>Landfill</v>
      </c>
      <c r="E65" s="124" t="str">
        <v>Rubber and leather</v>
      </c>
      <c r="F65" s="179"/>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5">
      <c r="D66" s="119" t="str">
        <v>Landfill</v>
      </c>
      <c r="E66" s="124" t="str">
        <v>Inert waste (including concrete, metal, plastic or glass)</v>
      </c>
      <c r="F66" s="179"/>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5">
      <c r="D67" s="119" t="str">
        <v>Landfill</v>
      </c>
      <c r="E67" s="124" t="str">
        <v>Municipal solid waste</v>
      </c>
      <c r="F67" s="179"/>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5">
      <c r="D68" s="119" t="str">
        <v>Landfill</v>
      </c>
      <c r="E68" s="124" t="str">
        <v>Commercial and industrial waste</v>
      </c>
      <c r="F68" s="179"/>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5">
      <c r="D69" s="119" t="str">
        <v>Landfill</v>
      </c>
      <c r="E69" s="124" t="str">
        <v>Construction and demolition waste</v>
      </c>
      <c r="F69" s="179"/>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5">
      <c r="D70" s="119" t="str">
        <v>Incineration</v>
      </c>
      <c r="E70" s="124" t="str">
        <v>Food waste, green waste, wood, sludge</v>
      </c>
      <c r="F70" s="179"/>
      <c r="G70" s="15" t="s">
        <v>728</v>
      </c>
      <c r="H70" s="15" t="s">
        <v>728</v>
      </c>
      <c r="I70" s="15" t="s">
        <v>728</v>
      </c>
    </row>
    <row r="71" spans="1:9" ht="20.100000000000001" customHeight="1" x14ac:dyDescent="0.25">
      <c r="D71" s="119" t="str">
        <v>Incineration</v>
      </c>
      <c r="E71" s="124" t="str">
        <v>Food waste (including animal carcasses, spoiled animal feed or crop)</v>
      </c>
      <c r="F71" s="179"/>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5">
      <c r="D72" s="119" t="str">
        <v>Incineration</v>
      </c>
      <c r="E72" s="124" t="str">
        <v>Green waste (including crop residues or prunings)</v>
      </c>
      <c r="F72" s="179"/>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5">
      <c r="D73" s="119" t="str">
        <v>Incineration</v>
      </c>
      <c r="E73" s="124" t="str">
        <v>Wood</v>
      </c>
      <c r="F73" s="179"/>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5">
      <c r="D74" s="119" t="str">
        <v>Incineration</v>
      </c>
      <c r="E74" s="124" t="str">
        <v>Sludge</v>
      </c>
      <c r="F74" s="179"/>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5">
      <c r="D75" s="119" t="str">
        <v>Incineration</v>
      </c>
      <c r="E75" s="124" t="str">
        <v>Paper and cardboard</v>
      </c>
      <c r="F75" s="179"/>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5">
      <c r="D76" s="119" t="str">
        <v>Incineration</v>
      </c>
      <c r="E76" s="124" t="str">
        <v>Textiles</v>
      </c>
      <c r="F76" s="179"/>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5">
      <c r="D77" s="119" t="str">
        <v>Incineration</v>
      </c>
      <c r="E77" s="124" t="str">
        <v>Rubber and leather</v>
      </c>
      <c r="F77" s="179"/>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5">
      <c r="D78" s="119" t="str">
        <v>Incineration</v>
      </c>
      <c r="E78" s="124" t="str">
        <v>Inert waste (including concrete, metal, plastic or glass)</v>
      </c>
      <c r="F78" s="179"/>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5">
      <c r="D79" s="119" t="str">
        <v>Incineration</v>
      </c>
      <c r="E79" s="124" t="str">
        <v>Municipal solid waste</v>
      </c>
      <c r="F79" s="125"/>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5">
      <c r="D80" s="119" t="str">
        <v>Incineration</v>
      </c>
      <c r="E80" s="124" t="str">
        <v>Commercial and industrial waste</v>
      </c>
      <c r="F80" s="125"/>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3:12" ht="20.100000000000001" customHeight="1" x14ac:dyDescent="0.25">
      <c r="D81" s="119" t="str">
        <v>Composting</v>
      </c>
      <c r="E81" s="124" t="str">
        <v>All organic waste</v>
      </c>
      <c r="F81" s="125"/>
      <c r="G81" s="15" t="s">
        <v>728</v>
      </c>
      <c r="H81" s="15" t="s">
        <v>728</v>
      </c>
      <c r="I81" s="15" t="s">
        <v>728</v>
      </c>
    </row>
    <row r="82" spans="3:12" ht="20.100000000000001" customHeight="1" x14ac:dyDescent="0.25">
      <c r="D82" s="119" t="str">
        <v>Composting</v>
      </c>
      <c r="E82" s="124" t="str">
        <v>Food waste (including animal carcasses, spoiled animal feed or crop)</v>
      </c>
      <c r="F82" s="125"/>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3:12" ht="20.100000000000001" customHeight="1" x14ac:dyDescent="0.25">
      <c r="D83" s="119" t="str">
        <v>Composting</v>
      </c>
      <c r="E83" s="124" t="str">
        <v>Green waste (including crop residues or prunings)</v>
      </c>
      <c r="F83" s="125"/>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3:12" ht="20.100000000000001" customHeight="1" x14ac:dyDescent="0.25">
      <c r="D84" s="119" t="str">
        <v>Composting</v>
      </c>
      <c r="E84" s="124" t="str">
        <v>Wood</v>
      </c>
      <c r="F84" s="125"/>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3:12" ht="20.100000000000001" customHeight="1" x14ac:dyDescent="0.25">
      <c r="D85" s="119" t="str">
        <v>Composting</v>
      </c>
      <c r="E85" s="124" t="str">
        <v>Sludge</v>
      </c>
      <c r="F85" s="125"/>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3:12" ht="20.100000000000001" customHeight="1" x14ac:dyDescent="0.25">
      <c r="D86" s="119" t="str">
        <v>Composting</v>
      </c>
      <c r="E86" s="124" t="str">
        <v>Paper and cardboard</v>
      </c>
      <c r="F86" s="125"/>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3:12" ht="20.100000000000001" customHeight="1" x14ac:dyDescent="0.25">
      <c r="D87" s="119" t="str">
        <v>Anaerobic digestion</v>
      </c>
      <c r="E87" s="124" t="str">
        <v>All organic waste</v>
      </c>
      <c r="F87" s="125"/>
      <c r="G87" s="15" t="s">
        <v>728</v>
      </c>
      <c r="H87" s="15" t="s">
        <v>728</v>
      </c>
      <c r="I87" s="15" t="s">
        <v>728</v>
      </c>
    </row>
    <row r="88" spans="3:12" ht="20.100000000000001" customHeight="1" x14ac:dyDescent="0.25">
      <c r="D88" s="119" t="str">
        <v>Anaerobic digestion</v>
      </c>
      <c r="E88" s="124" t="str">
        <v>Food waste (including animal carcasses, spoiled animal feed or crop)</v>
      </c>
      <c r="F88" s="125"/>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3:12" ht="20.100000000000001" customHeight="1" x14ac:dyDescent="0.25">
      <c r="D89" s="119" t="str">
        <v>Anaerobic digestion</v>
      </c>
      <c r="E89" s="124" t="str">
        <v>Green waste (including crop residues or prunings)</v>
      </c>
      <c r="F89" s="125"/>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3:12" ht="20.100000000000001" customHeight="1" x14ac:dyDescent="0.25">
      <c r="D90" s="119" t="str">
        <v>Anaerobic digestion</v>
      </c>
      <c r="E90" s="124" t="str">
        <v>Wood</v>
      </c>
      <c r="F90" s="125"/>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3:12" ht="20.100000000000001" customHeight="1" x14ac:dyDescent="0.25">
      <c r="D91" s="119" t="str">
        <v>Anaerobic digestion</v>
      </c>
      <c r="E91" s="124" t="str">
        <v>Sludge</v>
      </c>
      <c r="F91" s="125"/>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3:12" ht="20.100000000000001" customHeight="1" x14ac:dyDescent="0.25">
      <c r="D92" s="119" t="str">
        <v>Anaerobic digestion</v>
      </c>
      <c r="E92" s="124" t="str">
        <v>Paper and cardboard</v>
      </c>
      <c r="F92" s="125"/>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89"/>
      <c r="D95" s="89"/>
      <c r="E95" s="89"/>
      <c r="F95" s="89"/>
      <c r="G95" s="89"/>
      <c r="H95" s="89"/>
      <c r="I95" s="89"/>
      <c r="J95" s="89"/>
      <c r="K95" s="89"/>
      <c r="L95" s="89"/>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17" t="str" cm="1">
        <f t="array" ref="D97">WasteSolid_Equations.VEERG_10_1_1_1__1_EmissionsFromWasteManagement_Source()</f>
        <v>VEERG 2026: 10.1.1.1, Equation (1)</v>
      </c>
    </row>
    <row r="98" spans="4:9" ht="20.100000000000001" customHeight="1" x14ac:dyDescent="0.25">
      <c r="D98" s="25"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17" t="s">
        <v>343</v>
      </c>
      <c r="E99" s="117"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76" t="s">
        <v>344</v>
      </c>
      <c r="E102" s="1" t="str" cm="1">
        <f t="array" ref="E102">WasteSolid_Equations.VEERG_10_1_1_1__1_EmissionsFromWasteManagement_Variable()</f>
        <v>E_g</v>
      </c>
    </row>
    <row r="103" spans="4:9" ht="20.100000000000001" customHeight="1" x14ac:dyDescent="0.25">
      <c r="D103" s="76" t="s">
        <v>118</v>
      </c>
      <c r="E103" s="9" t="str" cm="1">
        <f t="array" ref="E103">WasteSolid_Equations.VEERG_10_1_1_1__1_EmissionsFromWasteManagement_Unit()</f>
        <v>t CO2e</v>
      </c>
    </row>
    <row r="104" spans="4:9" ht="20.100000000000001" customHeight="1" x14ac:dyDescent="0.25"/>
    <row r="105" spans="4:9" ht="20.100000000000001" customHeight="1" x14ac:dyDescent="0.25">
      <c r="D105" s="119" t="str" cm="1">
        <f t="array" ref="D105:E111">_xlfn.CHOOSECOLS(WasteSolid_Equations.VEERG_10_1_1_1__1_EmissionsFromWasteManagement_Arguments(),1,2)</f>
        <v>Q_wt</v>
      </c>
      <c r="E105" s="124" t="str">
        <v>quantity of solid waste of type w being sent to treatment facility t, on a wet weight basis</v>
      </c>
      <c r="F105" s="132"/>
      <c r="G105" s="125"/>
      <c r="H105" s="119" t="str" cm="1">
        <f t="array" ref="H105:I111">_xlfn.CHOOSECOLS(WasteSolid_Equations.VEERG_10_1_1_1__1_EmissionsFromWasteManagement_Arguments(),3,4)</f>
        <v>t</v>
      </c>
      <c r="I105" s="127" t="str">
        <v>Sum of Q_volwt and Q_masswt</v>
      </c>
    </row>
    <row r="106" spans="4:9" ht="20.100000000000001" customHeight="1" x14ac:dyDescent="0.25">
      <c r="D106" s="119" t="str">
        <v>EF_wtg</v>
      </c>
      <c r="E106" s="124" t="str">
        <v>emission factor for greenhouse gas g for the management of waste at treatment facility t</v>
      </c>
      <c r="F106" s="132"/>
      <c r="G106" s="125"/>
      <c r="H106" s="119" t="str">
        <v>t CO2e/t</v>
      </c>
      <c r="I106" s="127" t="str">
        <v>Constant</v>
      </c>
    </row>
    <row r="107" spans="4:9" ht="20.100000000000001" customHeight="1" x14ac:dyDescent="0.25">
      <c r="D107" s="119" t="str">
        <v>w</v>
      </c>
      <c r="E107" s="124" t="str">
        <v>waste type</v>
      </c>
      <c r="F107" s="132"/>
      <c r="G107" s="125"/>
      <c r="H107" s="119" t="str">
        <v/>
      </c>
      <c r="I107" s="120" t="str">
        <v>Input</v>
      </c>
    </row>
    <row r="108" spans="4:9" ht="20.100000000000001" customHeight="1" x14ac:dyDescent="0.25">
      <c r="D108" s="119" t="str">
        <v>t</v>
      </c>
      <c r="E108" s="124" t="str">
        <v>treatment facility</v>
      </c>
      <c r="F108" s="132"/>
      <c r="G108" s="125"/>
      <c r="H108" s="119" t="str">
        <v/>
      </c>
      <c r="I108" s="120" t="str">
        <v>Input</v>
      </c>
    </row>
    <row r="109" spans="4:9" ht="20.100000000000001" customHeight="1" x14ac:dyDescent="0.25">
      <c r="D109" s="119" t="str">
        <v>g</v>
      </c>
      <c r="E109" s="124" t="str">
        <v>greenhouse gas</v>
      </c>
      <c r="F109" s="132"/>
      <c r="G109" s="125"/>
      <c r="H109" s="119" t="str">
        <v/>
      </c>
      <c r="I109" s="120" t="str">
        <v>Input</v>
      </c>
    </row>
    <row r="110" spans="4:9" ht="20.100000000000001" customHeight="1" x14ac:dyDescent="0.25">
      <c r="D110" s="119" t="str">
        <v>Q_volwt</v>
      </c>
      <c r="E110" s="124" t="str">
        <v>quantity of sold waste input as volume and converted to tonnes</v>
      </c>
      <c r="F110" s="132"/>
      <c r="G110" s="125"/>
      <c r="H110" s="119" t="str">
        <v>tonnes</v>
      </c>
      <c r="I110" s="127" t="str">
        <v>Calculated from 10.1.1.1 (2)</v>
      </c>
    </row>
    <row r="111" spans="4:9" ht="20.100000000000001" customHeight="1" x14ac:dyDescent="0.25">
      <c r="D111" s="119" t="str">
        <v>Q_masswt</v>
      </c>
      <c r="E111" s="124" t="str">
        <v>quantity of solid waste input as mass</v>
      </c>
      <c r="F111" s="132"/>
      <c r="G111" s="125"/>
      <c r="H111" s="119" t="str">
        <v>tonnes</v>
      </c>
      <c r="I111" s="120" t="str">
        <v>Input</v>
      </c>
    </row>
    <row r="112" spans="4:9" ht="20.100000000000001" customHeight="1" x14ac:dyDescent="0.25"/>
    <row r="113" spans="4:11" ht="20.100000000000001" customHeight="1" x14ac:dyDescent="0.25">
      <c r="D113" s="121" t="s">
        <v>1011</v>
      </c>
    </row>
    <row r="114" spans="4:11" ht="20.100000000000001" customHeight="1" x14ac:dyDescent="0.25">
      <c r="D114" s="122" t="s">
        <v>1012</v>
      </c>
    </row>
    <row r="115" spans="4:11" ht="20.100000000000001" customHeight="1" x14ac:dyDescent="0.25">
      <c r="D115" s="81" t="s">
        <v>1004</v>
      </c>
      <c r="E115" s="81" t="s">
        <v>1005</v>
      </c>
      <c r="F115" s="81"/>
      <c r="G115" s="81" t="s">
        <v>1013</v>
      </c>
      <c r="H115" s="123" t="s">
        <v>1014</v>
      </c>
      <c r="I115" s="123" t="s">
        <v>1008</v>
      </c>
      <c r="J115" s="123" t="s">
        <v>1015</v>
      </c>
      <c r="K115" s="123" t="s">
        <v>1016</v>
      </c>
    </row>
    <row r="116" spans="4:11" ht="20.100000000000001" customHeight="1" x14ac:dyDescent="0.25">
      <c r="D116" s="119" t="str" cm="1">
        <f t="array" ref="D116:D149">Table_SourceData_WasteSolid_WasteTreatmentEFs[Treatment type t]</f>
        <v>Landfill</v>
      </c>
      <c r="E116" s="124" t="str" cm="1">
        <f t="array" ref="E116:E149">Table_SourceData_WasteSolid_WasteTreatmentEFs[Waste type w]</f>
        <v>Food waste (including animal carcasses, spoiled animal feed or crop)</v>
      </c>
      <c r="F116" s="179"/>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4:11" ht="20.100000000000001" customHeight="1" x14ac:dyDescent="0.25">
      <c r="D117" s="119" t="str">
        <v>Landfill</v>
      </c>
      <c r="E117" s="124" t="str">
        <v>Paper and cardboard</v>
      </c>
      <c r="F117" s="179"/>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4:11" ht="20.100000000000001" customHeight="1" x14ac:dyDescent="0.25">
      <c r="D118" s="119" t="str">
        <v>Landfill</v>
      </c>
      <c r="E118" s="124" t="str">
        <v>Green waste (including crop residues or prunings)</v>
      </c>
      <c r="F118" s="179"/>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4:11" ht="20.100000000000001" customHeight="1" x14ac:dyDescent="0.25">
      <c r="D119" s="119" t="str">
        <v>Landfill</v>
      </c>
      <c r="E119" s="124" t="str">
        <v>Wood</v>
      </c>
      <c r="F119" s="179"/>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4:11" ht="20.100000000000001" customHeight="1" x14ac:dyDescent="0.25">
      <c r="D120" s="119" t="str">
        <v>Landfill</v>
      </c>
      <c r="E120" s="124" t="str">
        <v>Textiles</v>
      </c>
      <c r="F120" s="179"/>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4:11" ht="20.100000000000001" customHeight="1" x14ac:dyDescent="0.25">
      <c r="D121" s="119" t="str">
        <v>Landfill</v>
      </c>
      <c r="E121" s="124" t="str">
        <v>Sludge</v>
      </c>
      <c r="F121" s="179"/>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4:11" ht="20.100000000000001" customHeight="1" x14ac:dyDescent="0.25">
      <c r="D122" s="119" t="str">
        <v>Landfill</v>
      </c>
      <c r="E122" s="124" t="str">
        <v>Rubber and leather</v>
      </c>
      <c r="F122" s="179"/>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4:11" ht="20.100000000000001" customHeight="1" x14ac:dyDescent="0.25">
      <c r="D123" s="119" t="str">
        <v>Landfill</v>
      </c>
      <c r="E123" s="124" t="str">
        <v>Inert waste (including concrete, metal, plastic or glass)</v>
      </c>
      <c r="F123" s="179"/>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4:11" ht="20.100000000000001" customHeight="1" x14ac:dyDescent="0.25">
      <c r="D124" s="119" t="str">
        <v>Landfill</v>
      </c>
      <c r="E124" s="124" t="str">
        <v>Municipal solid waste</v>
      </c>
      <c r="F124" s="179"/>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4:11" ht="20.100000000000001" customHeight="1" x14ac:dyDescent="0.25">
      <c r="D125" s="119" t="str">
        <v>Landfill</v>
      </c>
      <c r="E125" s="124" t="str">
        <v>Commercial and industrial waste</v>
      </c>
      <c r="F125" s="179"/>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4:11" ht="20.100000000000001" customHeight="1" x14ac:dyDescent="0.25">
      <c r="D126" s="119" t="str">
        <v>Landfill</v>
      </c>
      <c r="E126" s="124" t="str">
        <v>Construction and demolition waste</v>
      </c>
      <c r="F126" s="179"/>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4:11" ht="20.100000000000001" customHeight="1" x14ac:dyDescent="0.25">
      <c r="D127" s="119" t="str">
        <v>Incineration</v>
      </c>
      <c r="E127" s="124" t="str">
        <v>Food waste, green waste, wood, sludge</v>
      </c>
      <c r="F127" s="179"/>
      <c r="G127" s="15" t="s">
        <v>728</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4:11" ht="20.100000000000001" customHeight="1" x14ac:dyDescent="0.25">
      <c r="D128" s="119" t="str">
        <v>Incineration</v>
      </c>
      <c r="E128" s="124" t="str">
        <v>Food waste (including animal carcasses, spoiled animal feed or crop)</v>
      </c>
      <c r="F128" s="179"/>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1017</v>
      </c>
      <c r="J128" s="15" t="s">
        <v>728</v>
      </c>
      <c r="K128" s="15" t="s">
        <v>728</v>
      </c>
    </row>
    <row r="129" spans="4:11" ht="20.100000000000001" customHeight="1" x14ac:dyDescent="0.25">
      <c r="D129" s="119" t="str">
        <v>Incineration</v>
      </c>
      <c r="E129" s="124" t="str">
        <v>Green waste (including crop residues or prunings)</v>
      </c>
      <c r="F129" s="179"/>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1017</v>
      </c>
      <c r="J129" s="15" t="s">
        <v>728</v>
      </c>
      <c r="K129" s="15" t="s">
        <v>728</v>
      </c>
    </row>
    <row r="130" spans="4:11" ht="20.100000000000001" customHeight="1" x14ac:dyDescent="0.25">
      <c r="D130" s="119" t="str">
        <v>Incineration</v>
      </c>
      <c r="E130" s="124" t="str">
        <v>Wood</v>
      </c>
      <c r="F130" s="179"/>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1017</v>
      </c>
      <c r="J130" s="15" t="s">
        <v>728</v>
      </c>
      <c r="K130" s="15" t="s">
        <v>728</v>
      </c>
    </row>
    <row r="131" spans="4:11" ht="20.100000000000001" customHeight="1" x14ac:dyDescent="0.25">
      <c r="D131" s="119" t="str">
        <v>Incineration</v>
      </c>
      <c r="E131" s="124" t="str">
        <v>Sludge</v>
      </c>
      <c r="F131" s="179"/>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1017</v>
      </c>
      <c r="J131" s="15" t="s">
        <v>728</v>
      </c>
      <c r="K131" s="15" t="s">
        <v>728</v>
      </c>
    </row>
    <row r="132" spans="4:11" ht="20.100000000000001" customHeight="1" x14ac:dyDescent="0.25">
      <c r="D132" s="119" t="str">
        <v>Incineration</v>
      </c>
      <c r="E132" s="124" t="str">
        <v>Paper and cardboard</v>
      </c>
      <c r="F132" s="179"/>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5">
      <c r="D133" s="119" t="str">
        <v>Incineration</v>
      </c>
      <c r="E133" s="124" t="str">
        <v>Textiles</v>
      </c>
      <c r="F133" s="179"/>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5">
      <c r="D134" s="119" t="str">
        <v>Incineration</v>
      </c>
      <c r="E134" s="124" t="str">
        <v>Rubber and leather</v>
      </c>
      <c r="F134" s="179"/>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5">
      <c r="D135" s="119" t="str">
        <v>Incineration</v>
      </c>
      <c r="E135" s="124" t="str">
        <v>Inert waste (including concrete, metal, plastic or glass)</v>
      </c>
      <c r="F135" s="179"/>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5">
      <c r="D136" s="119" t="str">
        <v>Incineration</v>
      </c>
      <c r="E136" s="124" t="str">
        <v>Municipal solid waste</v>
      </c>
      <c r="F136" s="125"/>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5">
      <c r="D137" s="119" t="str">
        <v>Incineration</v>
      </c>
      <c r="E137" s="124" t="str">
        <v>Commercial and industrial waste</v>
      </c>
      <c r="F137" s="125"/>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5">
      <c r="D138" s="119" t="str">
        <v>Composting</v>
      </c>
      <c r="E138" s="124" t="str">
        <v>All organic waste</v>
      </c>
      <c r="F138" s="125"/>
      <c r="G138" s="15" t="s">
        <v>728</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5">
      <c r="D139" s="119" t="str">
        <v>Composting</v>
      </c>
      <c r="E139" s="124" t="str">
        <v>Food waste (including animal carcasses, spoiled animal feed or crop)</v>
      </c>
      <c r="F139" s="125"/>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1017</v>
      </c>
      <c r="J139" s="15" t="s">
        <v>728</v>
      </c>
      <c r="K139" s="15" t="s">
        <v>728</v>
      </c>
    </row>
    <row r="140" spans="4:11" ht="20.100000000000001" customHeight="1" x14ac:dyDescent="0.25">
      <c r="D140" s="119" t="str">
        <v>Composting</v>
      </c>
      <c r="E140" s="124" t="str">
        <v>Green waste (including crop residues or prunings)</v>
      </c>
      <c r="F140" s="125"/>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1017</v>
      </c>
      <c r="J140" s="15" t="s">
        <v>728</v>
      </c>
      <c r="K140" s="15" t="s">
        <v>728</v>
      </c>
    </row>
    <row r="141" spans="4:11" ht="20.100000000000001" customHeight="1" x14ac:dyDescent="0.25">
      <c r="D141" s="119" t="str">
        <v>Composting</v>
      </c>
      <c r="E141" s="124" t="str">
        <v>Wood</v>
      </c>
      <c r="F141" s="125"/>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1017</v>
      </c>
      <c r="J141" s="15" t="s">
        <v>728</v>
      </c>
      <c r="K141" s="15" t="s">
        <v>728</v>
      </c>
    </row>
    <row r="142" spans="4:11" ht="20.100000000000001" customHeight="1" x14ac:dyDescent="0.25">
      <c r="D142" s="119" t="str">
        <v>Composting</v>
      </c>
      <c r="E142" s="124" t="str">
        <v>Sludge</v>
      </c>
      <c r="F142" s="125"/>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1017</v>
      </c>
      <c r="J142" s="15" t="s">
        <v>728</v>
      </c>
      <c r="K142" s="15" t="s">
        <v>728</v>
      </c>
    </row>
    <row r="143" spans="4:11" ht="20.100000000000001" customHeight="1" x14ac:dyDescent="0.25">
      <c r="D143" s="119" t="str">
        <v>Composting</v>
      </c>
      <c r="E143" s="124" t="str">
        <v>Paper and cardboard</v>
      </c>
      <c r="F143" s="125"/>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1017</v>
      </c>
      <c r="J143" s="15" t="s">
        <v>728</v>
      </c>
      <c r="K143" s="15" t="s">
        <v>728</v>
      </c>
    </row>
    <row r="144" spans="4:11" ht="20.100000000000001" customHeight="1" x14ac:dyDescent="0.25">
      <c r="D144" s="119" t="str">
        <v>Anaerobic digestion</v>
      </c>
      <c r="E144" s="124" t="str">
        <v>All organic waste</v>
      </c>
      <c r="F144" s="125"/>
      <c r="G144" s="15" t="s">
        <v>728</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4:11" ht="20.100000000000001" customHeight="1" x14ac:dyDescent="0.25">
      <c r="D145" s="119" t="str">
        <v>Anaerobic digestion</v>
      </c>
      <c r="E145" s="124" t="str">
        <v>Food waste (including animal carcasses, spoiled animal feed or crop)</v>
      </c>
      <c r="F145" s="125"/>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1017</v>
      </c>
      <c r="J145" s="15" t="s">
        <v>728</v>
      </c>
      <c r="K145" s="15" t="s">
        <v>728</v>
      </c>
    </row>
    <row r="146" spans="4:11" ht="20.100000000000001" customHeight="1" x14ac:dyDescent="0.25">
      <c r="D146" s="119" t="str">
        <v>Anaerobic digestion</v>
      </c>
      <c r="E146" s="124" t="str">
        <v>Green waste (including crop residues or prunings)</v>
      </c>
      <c r="F146" s="125"/>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1017</v>
      </c>
      <c r="J146" s="15" t="s">
        <v>728</v>
      </c>
      <c r="K146" s="15" t="s">
        <v>728</v>
      </c>
    </row>
    <row r="147" spans="4:11" ht="20.100000000000001" customHeight="1" x14ac:dyDescent="0.25">
      <c r="D147" s="119" t="str">
        <v>Anaerobic digestion</v>
      </c>
      <c r="E147" s="124" t="str">
        <v>Wood</v>
      </c>
      <c r="F147" s="125"/>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1017</v>
      </c>
      <c r="J147" s="15" t="s">
        <v>728</v>
      </c>
      <c r="K147" s="15" t="s">
        <v>728</v>
      </c>
    </row>
    <row r="148" spans="4:11" ht="20.100000000000001" customHeight="1" x14ac:dyDescent="0.25">
      <c r="D148" s="119" t="str">
        <v>Anaerobic digestion</v>
      </c>
      <c r="E148" s="124" t="str">
        <v>Sludge</v>
      </c>
      <c r="F148" s="125"/>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1017</v>
      </c>
      <c r="J148" s="15" t="s">
        <v>728</v>
      </c>
      <c r="K148" s="15" t="s">
        <v>728</v>
      </c>
    </row>
    <row r="149" spans="4:11" ht="20.100000000000001" customHeight="1" x14ac:dyDescent="0.25">
      <c r="D149" s="119" t="str">
        <v>Anaerobic digestion</v>
      </c>
      <c r="E149" s="124" t="str">
        <v>Paper and cardboard</v>
      </c>
      <c r="F149" s="125"/>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1017</v>
      </c>
      <c r="J149" s="15" t="s">
        <v>728</v>
      </c>
      <c r="K149" s="15" t="s">
        <v>728</v>
      </c>
    </row>
    <row r="150" spans="4:11" ht="20.100000000000001" customHeight="1" x14ac:dyDescent="0.25"/>
    <row r="151" spans="4:11" ht="20.100000000000001" customHeight="1" x14ac:dyDescent="0.25">
      <c r="D151" s="88" t="s">
        <v>1018</v>
      </c>
      <c r="E151" s="91">
        <f>SUM(K116:K149)</f>
        <v>438.82805000000002</v>
      </c>
      <c r="F151" s="90" t="str">
        <f>$E$103</f>
        <v>t CO2e</v>
      </c>
    </row>
    <row r="152" spans="4:11" ht="20.100000000000001" customHeight="1" x14ac:dyDescent="0.25"/>
    <row r="153" spans="4:11" ht="20.100000000000001" customHeight="1" x14ac:dyDescent="0.25"/>
    <row r="154" spans="4:11" ht="20.100000000000001" customHeight="1" x14ac:dyDescent="0.25">
      <c r="D154" s="121" t="s">
        <v>1019</v>
      </c>
    </row>
    <row r="155" spans="4:11" ht="20.100000000000001" customHeight="1" x14ac:dyDescent="0.25">
      <c r="D155" s="122" t="s">
        <v>1020</v>
      </c>
    </row>
    <row r="156" spans="4:11" ht="20.100000000000001" customHeight="1" x14ac:dyDescent="0.25">
      <c r="D156" s="81" t="s">
        <v>1004</v>
      </c>
      <c r="E156" s="81" t="s">
        <v>1005</v>
      </c>
      <c r="F156" s="81"/>
      <c r="G156" s="81" t="s">
        <v>1013</v>
      </c>
      <c r="H156" s="123" t="s">
        <v>1014</v>
      </c>
      <c r="I156" s="123" t="s">
        <v>1008</v>
      </c>
      <c r="J156" s="123" t="s">
        <v>1015</v>
      </c>
      <c r="K156" s="123" t="s">
        <v>1016</v>
      </c>
    </row>
    <row r="157" spans="4:11" ht="20.100000000000001" customHeight="1" x14ac:dyDescent="0.25">
      <c r="D157" s="119" t="str" cm="1">
        <f t="array" ref="D157:D190">Table_SourceData_WasteSolid_WasteTreatmentEFs[Treatment type t]</f>
        <v>Landfill</v>
      </c>
      <c r="E157" s="124" t="str" cm="1">
        <f t="array" ref="E157:E190">Table_SourceData_WasteSolid_WasteTreatmentEFs[Waste type w]</f>
        <v>Food waste (including animal carcasses, spoiled animal feed or crop)</v>
      </c>
      <c r="F157" s="179"/>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4:11" ht="20.100000000000001" customHeight="1" x14ac:dyDescent="0.25">
      <c r="D158" s="119" t="str">
        <v>Landfill</v>
      </c>
      <c r="E158" s="124" t="str">
        <v>Paper and cardboard</v>
      </c>
      <c r="F158" s="179"/>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4:11" ht="20.100000000000001" customHeight="1" x14ac:dyDescent="0.25">
      <c r="D159" s="119" t="str">
        <v>Landfill</v>
      </c>
      <c r="E159" s="124" t="str">
        <v>Green waste (including crop residues or prunings)</v>
      </c>
      <c r="F159" s="179"/>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4:11" ht="20.100000000000001" customHeight="1" x14ac:dyDescent="0.25">
      <c r="D160" s="119" t="str">
        <v>Landfill</v>
      </c>
      <c r="E160" s="124" t="str">
        <v>Wood</v>
      </c>
      <c r="F160" s="179"/>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5">
      <c r="D161" s="119" t="str">
        <v>Landfill</v>
      </c>
      <c r="E161" s="124" t="str">
        <v>Textiles</v>
      </c>
      <c r="F161" s="179"/>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5">
      <c r="D162" s="119" t="str">
        <v>Landfill</v>
      </c>
      <c r="E162" s="124" t="str">
        <v>Sludge</v>
      </c>
      <c r="F162" s="179"/>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5">
      <c r="D163" s="119" t="str">
        <v>Landfill</v>
      </c>
      <c r="E163" s="124" t="str">
        <v>Rubber and leather</v>
      </c>
      <c r="F163" s="179"/>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5">
      <c r="D164" s="119" t="str">
        <v>Landfill</v>
      </c>
      <c r="E164" s="124" t="str">
        <v>Inert waste (including concrete, metal, plastic or glass)</v>
      </c>
      <c r="F164" s="179"/>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5">
      <c r="D165" s="119" t="str">
        <v>Landfill</v>
      </c>
      <c r="E165" s="124" t="str">
        <v>Municipal solid waste</v>
      </c>
      <c r="F165" s="179"/>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5">
      <c r="D166" s="119" t="str">
        <v>Landfill</v>
      </c>
      <c r="E166" s="124" t="str">
        <v>Commercial and industrial waste</v>
      </c>
      <c r="F166" s="179"/>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5">
      <c r="D167" s="119" t="str">
        <v>Landfill</v>
      </c>
      <c r="E167" s="124" t="str">
        <v>Construction and demolition waste</v>
      </c>
      <c r="F167" s="179"/>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5">
      <c r="D168" s="119" t="str">
        <v>Incineration</v>
      </c>
      <c r="E168" s="124" t="str">
        <v>Food waste, green waste, wood, sludge</v>
      </c>
      <c r="F168" s="179"/>
      <c r="G168" s="15" t="s">
        <v>728</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5">
      <c r="D169" s="119" t="str">
        <v>Incineration</v>
      </c>
      <c r="E169" s="124" t="str">
        <v>Food waste (including animal carcasses, spoiled animal feed or crop)</v>
      </c>
      <c r="F169" s="179"/>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1017</v>
      </c>
      <c r="J169" s="15" t="s">
        <v>728</v>
      </c>
      <c r="K169" s="15" t="s">
        <v>728</v>
      </c>
    </row>
    <row r="170" spans="4:11" ht="20.100000000000001" customHeight="1" x14ac:dyDescent="0.25">
      <c r="D170" s="119" t="str">
        <v>Incineration</v>
      </c>
      <c r="E170" s="124" t="str">
        <v>Green waste (including crop residues or prunings)</v>
      </c>
      <c r="F170" s="179"/>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1017</v>
      </c>
      <c r="J170" s="15" t="s">
        <v>728</v>
      </c>
      <c r="K170" s="15" t="s">
        <v>728</v>
      </c>
    </row>
    <row r="171" spans="4:11" ht="20.100000000000001" customHeight="1" x14ac:dyDescent="0.25">
      <c r="D171" s="119" t="str">
        <v>Incineration</v>
      </c>
      <c r="E171" s="124" t="str">
        <v>Wood</v>
      </c>
      <c r="F171" s="179"/>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1017</v>
      </c>
      <c r="J171" s="15" t="s">
        <v>728</v>
      </c>
      <c r="K171" s="15" t="s">
        <v>728</v>
      </c>
    </row>
    <row r="172" spans="4:11" ht="20.100000000000001" customHeight="1" x14ac:dyDescent="0.25">
      <c r="D172" s="119" t="str">
        <v>Incineration</v>
      </c>
      <c r="E172" s="124" t="str">
        <v>Sludge</v>
      </c>
      <c r="F172" s="179"/>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1017</v>
      </c>
      <c r="J172" s="15" t="s">
        <v>728</v>
      </c>
      <c r="K172" s="15" t="s">
        <v>728</v>
      </c>
    </row>
    <row r="173" spans="4:11" ht="20.100000000000001" customHeight="1" x14ac:dyDescent="0.25">
      <c r="D173" s="119" t="str">
        <v>Incineration</v>
      </c>
      <c r="E173" s="124" t="str">
        <v>Paper and cardboard</v>
      </c>
      <c r="F173" s="179"/>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5">
      <c r="D174" s="119" t="str">
        <v>Incineration</v>
      </c>
      <c r="E174" s="124" t="str">
        <v>Textiles</v>
      </c>
      <c r="F174" s="179"/>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5">
      <c r="D175" s="119" t="str">
        <v>Incineration</v>
      </c>
      <c r="E175" s="124" t="str">
        <v>Rubber and leather</v>
      </c>
      <c r="F175" s="179"/>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5">
      <c r="D176" s="119" t="str">
        <v>Incineration</v>
      </c>
      <c r="E176" s="124" t="str">
        <v>Inert waste (including concrete, metal, plastic or glass)</v>
      </c>
      <c r="F176" s="179"/>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4:11" ht="20.100000000000001" customHeight="1" x14ac:dyDescent="0.25">
      <c r="D177" s="119" t="str">
        <v>Incineration</v>
      </c>
      <c r="E177" s="124" t="str">
        <v>Municipal solid waste</v>
      </c>
      <c r="F177" s="125"/>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4:11" ht="20.100000000000001" customHeight="1" x14ac:dyDescent="0.25">
      <c r="D178" s="119" t="str">
        <v>Incineration</v>
      </c>
      <c r="E178" s="124" t="str">
        <v>Commercial and industrial waste</v>
      </c>
      <c r="F178" s="125"/>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4:11" ht="20.100000000000001" customHeight="1" x14ac:dyDescent="0.25">
      <c r="D179" s="119" t="str">
        <v>Composting</v>
      </c>
      <c r="E179" s="124" t="str">
        <v>All organic waste</v>
      </c>
      <c r="F179" s="125"/>
      <c r="G179" s="15" t="s">
        <v>728</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4:11" ht="20.100000000000001" customHeight="1" x14ac:dyDescent="0.25">
      <c r="D180" s="119" t="str">
        <v>Composting</v>
      </c>
      <c r="E180" s="124" t="str">
        <v>Food waste (including animal carcasses, spoiled animal feed or crop)</v>
      </c>
      <c r="F180" s="125"/>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1017</v>
      </c>
      <c r="J180" s="15" t="s">
        <v>728</v>
      </c>
      <c r="K180" s="15" t="s">
        <v>728</v>
      </c>
    </row>
    <row r="181" spans="4:11" ht="20.100000000000001" customHeight="1" x14ac:dyDescent="0.25">
      <c r="D181" s="119" t="str">
        <v>Composting</v>
      </c>
      <c r="E181" s="124" t="str">
        <v>Green waste (including crop residues or prunings)</v>
      </c>
      <c r="F181" s="125"/>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1017</v>
      </c>
      <c r="J181" s="15" t="s">
        <v>728</v>
      </c>
      <c r="K181" s="15" t="s">
        <v>728</v>
      </c>
    </row>
    <row r="182" spans="4:11" ht="20.100000000000001" customHeight="1" x14ac:dyDescent="0.25">
      <c r="D182" s="119" t="str">
        <v>Composting</v>
      </c>
      <c r="E182" s="124" t="str">
        <v>Wood</v>
      </c>
      <c r="F182" s="125"/>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1017</v>
      </c>
      <c r="J182" s="15" t="s">
        <v>728</v>
      </c>
      <c r="K182" s="15" t="s">
        <v>728</v>
      </c>
    </row>
    <row r="183" spans="4:11" ht="20.100000000000001" customHeight="1" x14ac:dyDescent="0.25">
      <c r="D183" s="119" t="str">
        <v>Composting</v>
      </c>
      <c r="E183" s="124" t="str">
        <v>Sludge</v>
      </c>
      <c r="F183" s="125"/>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1017</v>
      </c>
      <c r="J183" s="15" t="s">
        <v>728</v>
      </c>
      <c r="K183" s="15" t="s">
        <v>728</v>
      </c>
    </row>
    <row r="184" spans="4:11" ht="20.100000000000001" customHeight="1" x14ac:dyDescent="0.25">
      <c r="D184" s="119" t="str">
        <v>Composting</v>
      </c>
      <c r="E184" s="124" t="str">
        <v>Paper and cardboard</v>
      </c>
      <c r="F184" s="125"/>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1017</v>
      </c>
      <c r="J184" s="15" t="s">
        <v>728</v>
      </c>
      <c r="K184" s="15" t="s">
        <v>728</v>
      </c>
    </row>
    <row r="185" spans="4:11" ht="20.100000000000001" customHeight="1" x14ac:dyDescent="0.25">
      <c r="D185" s="119" t="str">
        <v>Anaerobic digestion</v>
      </c>
      <c r="E185" s="124" t="str">
        <v>All organic waste</v>
      </c>
      <c r="F185" s="125"/>
      <c r="G185" s="15" t="s">
        <v>728</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4:11" ht="20.100000000000001" customHeight="1" x14ac:dyDescent="0.25">
      <c r="D186" s="119" t="str">
        <v>Anaerobic digestion</v>
      </c>
      <c r="E186" s="124" t="str">
        <v>Food waste (including animal carcasses, spoiled animal feed or crop)</v>
      </c>
      <c r="F186" s="125"/>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1017</v>
      </c>
      <c r="J186" s="15" t="s">
        <v>728</v>
      </c>
      <c r="K186" s="15" t="s">
        <v>728</v>
      </c>
    </row>
    <row r="187" spans="4:11" ht="20.100000000000001" customHeight="1" x14ac:dyDescent="0.25">
      <c r="D187" s="119" t="str">
        <v>Anaerobic digestion</v>
      </c>
      <c r="E187" s="124" t="str">
        <v>Green waste (including crop residues or prunings)</v>
      </c>
      <c r="F187" s="125"/>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1017</v>
      </c>
      <c r="J187" s="15" t="s">
        <v>728</v>
      </c>
      <c r="K187" s="15" t="s">
        <v>728</v>
      </c>
    </row>
    <row r="188" spans="4:11" ht="20.100000000000001" customHeight="1" x14ac:dyDescent="0.25">
      <c r="D188" s="119" t="str">
        <v>Anaerobic digestion</v>
      </c>
      <c r="E188" s="124" t="str">
        <v>Wood</v>
      </c>
      <c r="F188" s="125"/>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1017</v>
      </c>
      <c r="J188" s="15" t="s">
        <v>728</v>
      </c>
      <c r="K188" s="15" t="s">
        <v>728</v>
      </c>
    </row>
    <row r="189" spans="4:11" ht="20.100000000000001" customHeight="1" x14ac:dyDescent="0.25">
      <c r="D189" s="119" t="str">
        <v>Anaerobic digestion</v>
      </c>
      <c r="E189" s="124" t="str">
        <v>Sludge</v>
      </c>
      <c r="F189" s="125"/>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1017</v>
      </c>
      <c r="J189" s="15" t="s">
        <v>728</v>
      </c>
      <c r="K189" s="15" t="s">
        <v>728</v>
      </c>
    </row>
    <row r="190" spans="4:11" ht="20.100000000000001" customHeight="1" x14ac:dyDescent="0.25">
      <c r="D190" s="119" t="str">
        <v>Anaerobic digestion</v>
      </c>
      <c r="E190" s="124" t="str">
        <v>Paper and cardboard</v>
      </c>
      <c r="F190" s="125"/>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1017</v>
      </c>
      <c r="J190" s="15" t="s">
        <v>728</v>
      </c>
      <c r="K190" s="15" t="s">
        <v>728</v>
      </c>
    </row>
    <row r="191" spans="4:11" ht="20.100000000000001" customHeight="1" x14ac:dyDescent="0.25"/>
    <row r="192" spans="4:11" ht="20.100000000000001" customHeight="1" x14ac:dyDescent="0.25">
      <c r="D192" s="88" t="s">
        <v>1018</v>
      </c>
      <c r="E192" s="91">
        <f>SUM(K157:K190)</f>
        <v>441.15000000000003</v>
      </c>
      <c r="F192" s="90"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64642C87-3639-434D-9166-A72F8421D386}"/>
  </dataValidation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B9F8-5E1B-469D-AE5B-E73BECD78990}">
  <sheetPr>
    <tabColor rgb="FF008000"/>
  </sheetPr>
  <dimension ref="A1:K342"/>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856</v>
      </c>
    </row>
    <row r="2" spans="1:11" s="3" customFormat="1" ht="20.100000000000001" customHeight="1" x14ac:dyDescent="0.25">
      <c r="A2"/>
    </row>
    <row r="3" spans="1:11" ht="20.100000000000001" customHeight="1" x14ac:dyDescent="0.25">
      <c r="A3" s="5" t="str">
        <f>HYPERLINK("#'Home'!A1", "Home")</f>
        <v>Home</v>
      </c>
      <c r="C3" s="22"/>
      <c r="D3" s="22" t="s">
        <v>129</v>
      </c>
      <c r="E3" s="22"/>
      <c r="F3" s="22"/>
      <c r="G3" s="22"/>
      <c r="H3" s="22"/>
      <c r="I3" s="22"/>
      <c r="J3" s="22"/>
      <c r="K3" s="22"/>
    </row>
    <row r="4" spans="1:11" ht="20.100000000000001" customHeight="1" x14ac:dyDescent="0.25">
      <c r="A4" s="5" t="str">
        <f>HYPERLINK("#'Results - Activity period'!A1", "Results - Activity period")</f>
        <v>Results - Activity period</v>
      </c>
    </row>
    <row r="5" spans="1:11" ht="20.100000000000001" customHeight="1" x14ac:dyDescent="0.25">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5">
      <c r="A6" s="5" t="str">
        <f>HYPERLINK("#'Results'!A1", "Results")</f>
        <v>Results</v>
      </c>
      <c r="D6" s="17" t="str" cm="1">
        <f t="array" ref="D6">Electricity_Equations.VEERG_14_1_1__1_LocationBasedScopeElectricityEmissions_Source()</f>
        <v>VEERG 2026: 14.1.1, Equation (1)</v>
      </c>
    </row>
    <row r="7" spans="1:11" ht="20.100000000000001" customHeight="1" x14ac:dyDescent="0.25">
      <c r="D7" s="25" t="str" cm="1">
        <f t="array" ref="D7">Electricity_Equations.VEERG_14_1_1__1_LocationBasedScopeElectricityEmissions_Variation()</f>
        <v>Added g variable to capture which grid electricity was purchased from</v>
      </c>
    </row>
    <row r="8" spans="1:11" ht="20.100000000000001" customHeight="1" x14ac:dyDescent="0.25">
      <c r="D8" s="117" t="s">
        <v>343</v>
      </c>
      <c r="E8" s="117"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7" t="s">
        <v>0</v>
      </c>
    </row>
    <row r="10" spans="1:11" ht="20.100000000000001" customHeight="1" x14ac:dyDescent="0.25">
      <c r="A10" s="5" t="str">
        <f>HYPERLINK("#'Input - Enterprise'!A1", "Enterprise")</f>
        <v>Enterprise</v>
      </c>
    </row>
    <row r="11" spans="1:11" ht="20.100000000000001" customHeight="1" x14ac:dyDescent="0.25">
      <c r="A11" s="5" t="str">
        <f>HYPERLINK("#'Input - Site'!A1", "Site")</f>
        <v>Site</v>
      </c>
      <c r="D11" s="76" t="s">
        <v>344</v>
      </c>
      <c r="E11" s="1" t="str" cm="1">
        <f t="array" ref="E11">Electricity_Equations.VEERG_14_1_1__1_LocationBasedScopeElectricityEmissions_Variable()</f>
        <v>E_2elec</v>
      </c>
    </row>
    <row r="12" spans="1:11" ht="20.100000000000001" customHeight="1" x14ac:dyDescent="0.25">
      <c r="A12" s="5" t="str">
        <f>HYPERLINK("#'Input - Dairy'!A1", "Dairy")</f>
        <v>Dairy</v>
      </c>
      <c r="D12" s="76" t="s">
        <v>118</v>
      </c>
      <c r="E12" s="9" t="str" cm="1">
        <f t="array" ref="E12">Electricity_Equations.VEERG_14_1_1__1_LocationBasedScopeElectricityEmissions_Unit()</f>
        <v>t CO2e</v>
      </c>
    </row>
    <row r="13" spans="1:11" ht="20.100000000000001" customHeight="1" x14ac:dyDescent="0.25">
      <c r="A13" s="5" t="str">
        <f>HYPERLINK("#'Input - Livestock sales'!A1", "Livestock sales")</f>
        <v>Livestock sales</v>
      </c>
    </row>
    <row r="14" spans="1:11" ht="20.100000000000001" customHeight="1" x14ac:dyDescent="0.25">
      <c r="A14" s="5" t="str">
        <f>HYPERLINK("#'Input - Dairy cattle purchases'!A1", "Dairy cattle purchases")</f>
        <v>Dairy cattle purchases</v>
      </c>
      <c r="D14" s="119" t="str" cm="1">
        <f t="array" ref="D14:E16">_xlfn.CHOOSECOLS(Electricity_Equations.VEERG_14_1_1__1_LocationBasedScopeElectricityEmissions_Arguments(),1,2)</f>
        <v>Q_elec</v>
      </c>
      <c r="E14" s="124" t="str">
        <v>amount of electricity purchased from the grid</v>
      </c>
      <c r="F14" s="125"/>
      <c r="G14" s="119" t="str" cm="1">
        <f t="array" ref="G14:H16">_xlfn.CHOOSECOLS(Electricity_Equations.VEERG_14_1_1__1_LocationBasedScopeElectricityEmissions_Arguments(),3,4)</f>
        <v>kWh</v>
      </c>
      <c r="H14" s="120" t="str">
        <v>Input</v>
      </c>
      <c r="I14" s="124">
        <f>X_Cell_Electricity_Location_AmountPurchasedInkWh</f>
        <v>30000</v>
      </c>
      <c r="J14" s="125"/>
    </row>
    <row r="15" spans="1:11" ht="20.100000000000001" customHeight="1" x14ac:dyDescent="0.25">
      <c r="A15" s="5" t="str">
        <f>HYPERLINK("#'Input - Pasture'!A1", "Pasture")</f>
        <v>Pasture</v>
      </c>
      <c r="D15" s="119" t="str">
        <v>EF_2elec</v>
      </c>
      <c r="E15" s="124" t="str">
        <v>location-based Scope 2 emission factor for electricity</v>
      </c>
      <c r="F15" s="125"/>
      <c r="G15" s="119" t="str">
        <v>kg CO2e/kWh</v>
      </c>
      <c r="H15" s="127" t="str">
        <v>Constant</v>
      </c>
      <c r="I15" s="124" cm="1">
        <f t="array" ref="I15">Common_InputFunctions.Utility_LookupValueInTableNumber(I16,Table_SourceData_ElectricityEFs[State, Territory or grid description],Table_SourceData_ElectricityEFs[Scope 2 Emission Factors (kg CO2-e/kWh)])</f>
        <v>0.56000000000000005</v>
      </c>
      <c r="J15" s="125"/>
    </row>
    <row r="16" spans="1:11" ht="20.100000000000001" customHeight="1" x14ac:dyDescent="0.25">
      <c r="A16" s="5" t="str">
        <f>HYPERLINK("#'Input - Fert Prod System'!A1", "Fert Prod System")</f>
        <v>Fert Prod System</v>
      </c>
      <c r="D16" s="119" t="str">
        <v>g</v>
      </c>
      <c r="E16" s="124" t="str">
        <v>Grid electricity was purchased from</v>
      </c>
      <c r="F16" s="125"/>
      <c r="G16" s="119" t="str">
        <v/>
      </c>
      <c r="H16" s="120" t="str">
        <v>Input</v>
      </c>
      <c r="I16" s="124" t="str">
        <f>X_Cell_Electricity_Location_GridElectricityPurchasedFrom</f>
        <v>Western Australia - North Western Interconnected System (NWIS)</v>
      </c>
      <c r="J16" s="125"/>
    </row>
    <row r="17" spans="1:11" ht="20.100000000000001" customHeight="1" x14ac:dyDescent="0.25">
      <c r="A17" s="5" t="str">
        <f>HYPERLINK("#'Input - Fertiliser'!A1", "Fertiliser")</f>
        <v>Fertiliser</v>
      </c>
    </row>
    <row r="18" spans="1:11" ht="20.100000000000001" customHeight="1" x14ac:dyDescent="0.25">
      <c r="A18" s="5" t="str">
        <f>HYPERLINK("#'Input - Fuel'!A1", "Fuel")</f>
        <v>Fuel</v>
      </c>
      <c r="D18" s="88" t="s">
        <v>857</v>
      </c>
      <c r="E18" s="91" cm="1">
        <f t="array" ref="E18">Electricity_Equations.VEERG_14_1_1__1_LocationBasedScopeElectricityEmissions(I14,I15)</f>
        <v>16.8</v>
      </c>
      <c r="F18" s="90" t="str">
        <f>$E$12</f>
        <v>t CO2e</v>
      </c>
    </row>
    <row r="19" spans="1:11" ht="20.100000000000001" customHeight="1" x14ac:dyDescent="0.25">
      <c r="A19" s="5" t="str">
        <f>HYPERLINK("#'Input - Electricity'!A1", "Electricity")</f>
        <v>Electricity</v>
      </c>
    </row>
    <row r="20" spans="1:11" ht="20.100000000000001" customHeight="1" x14ac:dyDescent="0.25">
      <c r="A20" s="5" t="str">
        <f>HYPERLINK("#'Input - Common farm inputs'!A1", "Common farm inputs")</f>
        <v>Common farm inputs</v>
      </c>
    </row>
    <row r="21" spans="1:11" ht="20.100000000000001" customHeight="1" x14ac:dyDescent="0.25">
      <c r="A21" s="5" t="str">
        <f>HYPERLINK("#'Input - Crop pasture farm input'!A1", "Crop pasture farm input")</f>
        <v>Crop pasture farm input</v>
      </c>
      <c r="C21" s="89"/>
      <c r="D21" s="89"/>
      <c r="E21" s="89"/>
      <c r="F21" s="89"/>
      <c r="G21" s="89"/>
      <c r="H21" s="89"/>
      <c r="I21" s="89"/>
      <c r="J21" s="89"/>
      <c r="K21" s="89"/>
    </row>
    <row r="22" spans="1:11" ht="20.100000000000001" customHeight="1" x14ac:dyDescent="0.25">
      <c r="A22" s="5" t="str">
        <f>HYPERLINK("#'Input - Livestock farm Inputs'!A1", "Livestock farm Inputs")</f>
        <v>Livestock farm Inputs</v>
      </c>
      <c r="D22" s="2" t="str" cm="1">
        <f t="array" ref="D22">Electricity_Equations.VEERG_14_1_2__1_MarketBasedScopeElectricityEmissions_Title()</f>
        <v>Market-based Scope 2 emissions from purchased electricity</v>
      </c>
    </row>
    <row r="23" spans="1:11" ht="20.100000000000001" customHeight="1" x14ac:dyDescent="0.25">
      <c r="A23" s="5" t="str">
        <f>HYPERLINK("#'Input - Freight'!A1", "Freight")</f>
        <v>Freight</v>
      </c>
      <c r="D23" s="17" t="str" cm="1">
        <f t="array" ref="D23">Electricity_Equations.VEERG_14_1_2__1_MarketBasedScopeElectricityEmissions_Source()</f>
        <v>VEERG 2026: 14.1.2, Equation (1)</v>
      </c>
    </row>
    <row r="24" spans="1:11" ht="20.100000000000001" customHeight="1" x14ac:dyDescent="0.25">
      <c r="A24" s="5" t="str">
        <f>HYPERLINK("#'Input - Solid waste'!A1", "Solid waste")</f>
        <v>Solid waste</v>
      </c>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HYPERLINK("#'Input - Manure sent off-site'!A1", "Manure sent off-site")</f>
        <v>Manure sent off-site</v>
      </c>
      <c r="D25" s="117" t="s">
        <v>343</v>
      </c>
      <c r="E25" s="117"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5" t="str">
        <f>HYPERLINK("#'Input - Data quality'!A1", "Data quality")</f>
        <v>Data quality</v>
      </c>
    </row>
    <row r="27" spans="1:11" ht="20.100000000000001" customHeight="1" x14ac:dyDescent="0.25"/>
    <row r="28" spans="1:11" ht="20.100000000000001" customHeight="1" x14ac:dyDescent="0.25">
      <c r="D28" s="76" t="s">
        <v>344</v>
      </c>
      <c r="E28" s="1" t="str" cm="1">
        <f t="array" ref="E28">Electricity_Equations.VEERG_14_1_2__1_MarketBasedScopeElectricityEmissions_Variable()</f>
        <v>E_2elec</v>
      </c>
    </row>
    <row r="29" spans="1:11" ht="20.100000000000001" customHeight="1" x14ac:dyDescent="0.25">
      <c r="A29" s="6" t="s">
        <v>2</v>
      </c>
      <c r="D29" s="76" t="s">
        <v>118</v>
      </c>
      <c r="E29" s="9" t="str" cm="1">
        <f t="array" ref="E29">Electricity_Equations.VEERG_14_1_2__1_MarketBasedScopeElectricityEmissions_Unit()</f>
        <v>t CO2e</v>
      </c>
    </row>
    <row r="30" spans="1:11" ht="20.100000000000001" customHeight="1" x14ac:dyDescent="0.25">
      <c r="A30" s="5" t="str">
        <f>HYPERLINK("#'3.3.1.1-2 Enteric Methane'!A1", "3.3.1.1-2 Enteric methane")</f>
        <v>3.3.1.1-2 Enteric methane</v>
      </c>
    </row>
    <row r="31" spans="1:11" ht="20.100000000000001" customHeight="1" x14ac:dyDescent="0.25">
      <c r="A31" s="5" t="str">
        <f>HYPERLINK("#'4.3.1.1-2 Methane'!A1", "4.3.1.1-2 Manure methane")</f>
        <v>4.3.1.1-2 Manure methane</v>
      </c>
      <c r="D31" s="119" t="str" cm="1">
        <f t="array" ref="D31:E37">_xlfn.CHOOSECOLS(Electricity_Equations.VEERG_14_1_2__1_MarketBasedScopeElectricityEmissions_Arguments(),1,2)</f>
        <v>Q_elec</v>
      </c>
      <c r="E31" s="124" t="str">
        <v>amount of electricity purchased from the grid</v>
      </c>
      <c r="F31" s="132"/>
      <c r="G31" s="132"/>
      <c r="H31" s="119" t="str" cm="1">
        <f t="array" ref="H31:I37">_xlfn.CHOOSECOLS(Electricity_Equations.VEERG_14_1_2__1_MarketBasedScopeElectricityEmissions_Arguments(),3,4)</f>
        <v>kWh</v>
      </c>
      <c r="I31" s="120" t="str">
        <v>Input</v>
      </c>
      <c r="J31" s="119">
        <f>X_Cell_Electricity_Market_AmountPurchasedExcludingGreenPower</f>
        <v>30000</v>
      </c>
    </row>
    <row r="32" spans="1:11" ht="20.100000000000001" customHeight="1" x14ac:dyDescent="0.25">
      <c r="A32" s="5" t="str">
        <f>HYPERLINK("#'4.3.1.3-4 Direct N20'!A1", "4.3.1.3-4 Direct N20")</f>
        <v>4.3.1.3-4 Direct N20</v>
      </c>
      <c r="D32" s="119" t="str">
        <v>RPP</v>
      </c>
      <c r="E32" s="124" t="str">
        <v>Renewable Power Percentage under the Large-scale Renewable Energy Target (LRET)</v>
      </c>
      <c r="F32" s="132"/>
      <c r="G32" s="132"/>
      <c r="H32" s="119" t="str">
        <v>per cent</v>
      </c>
      <c r="I32" s="120" t="str">
        <v>Input</v>
      </c>
      <c r="J32" s="200">
        <f>X_Cell_Electricity_Market_RenewablePowerPercentage</f>
        <v>0.1</v>
      </c>
    </row>
    <row r="33" spans="1:10" ht="20.100000000000001" customHeight="1" x14ac:dyDescent="0.25">
      <c r="A33" s="5" t="str">
        <f>HYPERLINK("#'4.3.1.5 Atmos deposition'!A1", "4.3.1.5 Atmos deposition")</f>
        <v>4.3.1.5 Atmos deposition</v>
      </c>
      <c r="D33" s="119" t="str">
        <v>JRPP</v>
      </c>
      <c r="E33" s="124" t="str">
        <v>jurisdictional renewable power percentage for the applicable period (ACT only)</v>
      </c>
      <c r="F33" s="132"/>
      <c r="G33" s="132"/>
      <c r="H33" s="119" t="str">
        <v>per cent</v>
      </c>
      <c r="I33" s="120" t="str">
        <v>Input</v>
      </c>
      <c r="J33" s="200" t="str">
        <f>IF(J37="ACT", X_Cell_Electricity_Market_JurisdictionalRenewablePowerPercentage, "N/A")</f>
        <v>N/A</v>
      </c>
    </row>
    <row r="34" spans="1:10" ht="20.100000000000001" customHeight="1" x14ac:dyDescent="0.25">
      <c r="A34" s="5" t="str">
        <f>HYPERLINK("#'4.3.1.6-7 Leaching and runoff'!A1", "4.3.1.6-7 Leaching &amp; runoff")</f>
        <v>4.3.1.6-7 Leaching &amp; runoff</v>
      </c>
      <c r="D34" s="119" t="str">
        <v>REC_surrendered</v>
      </c>
      <c r="E34" s="124" t="str">
        <v>Renewable Energy Certificates voluntarily surrendered in the reporting year</v>
      </c>
      <c r="F34" s="132"/>
      <c r="G34" s="132"/>
      <c r="H34" s="119" t="str">
        <v>MWh</v>
      </c>
      <c r="I34" s="120" t="str">
        <v>Input</v>
      </c>
      <c r="J34" s="119">
        <f>(X_Cell_Electricity_Market_AmountPurchasedGreenPower*10^-3)+X_Cell_TotalElegibleVoluntarilySurrenderedRECs</f>
        <v>10</v>
      </c>
    </row>
    <row r="35" spans="1:10" ht="20.100000000000001" customHeight="1" x14ac:dyDescent="0.25">
      <c r="A35" s="5" t="str">
        <f>HYPERLINK("#'4.3.1.8 Manure applied to soils'!A1", "4.3.1.8 Manure applied to soils")</f>
        <v>4.3.1.8 Manure applied to soils</v>
      </c>
      <c r="D35" s="119" t="str">
        <v>REC_onsite</v>
      </c>
      <c r="E35" s="124" t="str">
        <v>Renewable Energy Certificates issued for electricity produced on-site during the year and consumed by the entity</v>
      </c>
      <c r="F35" s="132"/>
      <c r="G35" s="132"/>
      <c r="H35" s="119" t="str">
        <v>MWh</v>
      </c>
      <c r="I35" s="120" t="str">
        <v>Input</v>
      </c>
      <c r="J35" s="119">
        <f>X_Cell_TotalElegibleRECsForElectricityProducedOnSite</f>
        <v>0</v>
      </c>
    </row>
    <row r="36" spans="1:10" ht="20.100000000000001" customHeight="1" x14ac:dyDescent="0.25">
      <c r="A36" s="5" t="str">
        <f>HYPERLINK("#'4.3.1.9 Soil direct N2O'!A1", "4.3.1.9 Soil direct N2O")</f>
        <v>4.3.1.9 Soil direct N2O</v>
      </c>
      <c r="D36" s="119" t="str">
        <v>EF_RMF2elec</v>
      </c>
      <c r="E36" s="124" t="str">
        <v>Scope 2 residual mix emission factor for electricity</v>
      </c>
      <c r="F36" s="132"/>
      <c r="G36" s="132"/>
      <c r="H36" s="119" t="str">
        <v>kg CO2e/kWh</v>
      </c>
      <c r="I36" s="127" t="str">
        <v>Constant</v>
      </c>
      <c r="J36" s="119" cm="1">
        <f t="array" ref="J36">Table_SourceData_ElectricityEFsMarketBased[Scope 2 EF (kg CO2-e/kWh)]</f>
        <v>0.81</v>
      </c>
    </row>
    <row r="37" spans="1:10" ht="20.100000000000001" customHeight="1" x14ac:dyDescent="0.25">
      <c r="A37" s="5" t="str">
        <f>HYPERLINK("#'4.3.1.10-11 Soil Atmos Dep'!A1", "4.3.1.10-11 Soil Atmos Deposition")</f>
        <v>4.3.1.10-11 Soil Atmos Deposition</v>
      </c>
      <c r="D37" s="119" t="str">
        <v>i</v>
      </c>
      <c r="E37" s="124" t="str">
        <v>state</v>
      </c>
      <c r="F37" s="132"/>
      <c r="G37" s="125"/>
      <c r="H37" s="119" t="str">
        <v/>
      </c>
      <c r="I37" s="120" t="str">
        <v>Input</v>
      </c>
      <c r="J37" s="119" t="str">
        <f>X_Cell_Site_State</f>
        <v>Dry climate zone</v>
      </c>
    </row>
    <row r="38" spans="1:10" ht="20.100000000000001" customHeight="1" x14ac:dyDescent="0.25">
      <c r="A38" s="5" t="str">
        <f>HYPERLINK("#'4.3.1.12-13 Soil leach runoff'!A1", "4.3.1.12-13 Soil leach &amp; runoff")</f>
        <v>4.3.1.12-13 Soil leach &amp; runoff</v>
      </c>
    </row>
    <row r="39" spans="1:10" ht="20.100000000000001" customHeight="1" x14ac:dyDescent="0.25">
      <c r="A39" s="5" t="str">
        <f>HYPERLINK("#'5.1.1.1-2 Inorganic fert N2O'!A1", "5.1.1.1-2 Inorganic fert N2O")</f>
        <v>5.1.1.1-2 Inorganic fert N2O</v>
      </c>
      <c r="D39" s="88" t="s">
        <v>857</v>
      </c>
      <c r="E39" s="91" cm="1">
        <f t="array" ref="E39">Electricity_Equations.VEERG_14_1_2__1_MarketBasedScopeElectricityEmissionsVariation(J31,J32,IF(ISNUMBER(J33), J33, 0),J34,J35,J36)</f>
        <v>13.77</v>
      </c>
      <c r="F39" s="90" t="str">
        <f>E29</f>
        <v>t CO2e</v>
      </c>
    </row>
    <row r="40" spans="1:10" ht="20.100000000000001" customHeight="1" x14ac:dyDescent="0.25">
      <c r="A40" s="5" t="str">
        <f>HYPERLINK("#'5.1.1.3-4 Inorganic fert CO2'!A1", "5.1.1.3-4 Inorganic fert CO2")</f>
        <v>5.1.1.3-4 Inorganic fert CO2</v>
      </c>
      <c r="H40" s="1" t="s">
        <v>568</v>
      </c>
    </row>
    <row r="41" spans="1:10" ht="20.100000000000001" customHeight="1" x14ac:dyDescent="0.25">
      <c r="A41" s="5" t="str">
        <f>HYPERLINK("#'5.2.1.1-2 Organic Fert N2O'!A1", "5.2.1.1-2 Organic fert N2O")</f>
        <v>5.2.1.1-2 Organic fert N2O</v>
      </c>
    </row>
    <row r="42" spans="1:10" ht="20.100000000000001" customHeight="1" x14ac:dyDescent="0.25">
      <c r="A42" s="5" t="str">
        <f>HYPERLINK("#'5.3.1.1-2 Lime CO2'!A1", "5.3.1.1-2 Lime CO2")</f>
        <v>5.3.1.1-2 Lime CO2</v>
      </c>
    </row>
    <row r="43" spans="1:10" ht="20.100000000000001" customHeight="1" x14ac:dyDescent="0.25">
      <c r="A43" s="5" t="str">
        <f>HYPERLINK("#'5.4.1.1-4 Atmos deposition'!A1", "5.4.1.1-4 Atmos. deposition")</f>
        <v>5.4.1.1-4 Atmos. deposition</v>
      </c>
    </row>
    <row r="44" spans="1:10" ht="20.100000000000001" customHeight="1" x14ac:dyDescent="0.25">
      <c r="A44" s="5" t="str">
        <f>HYPERLINK("#'5.5.1.1-2 Leaching and runoff'!A1", "5.5.1.1-2 Leaching &amp; runoff")</f>
        <v>5.5.1.1-2 Leaching &amp; runoff</v>
      </c>
      <c r="E44" s="160"/>
    </row>
    <row r="45" spans="1:10" ht="20.100000000000001" customHeight="1" x14ac:dyDescent="0.25">
      <c r="A45" s="5" t="str">
        <f>HYPERLINK("#'6.2.1.1-2 Pasture residue N2O'!A1", "6.2.1.1-2 Pasture residue N2O")</f>
        <v>6.2.1.1-2 Pasture residue N2O</v>
      </c>
    </row>
    <row r="46" spans="1:10" ht="20.100000000000001" customHeight="1" x14ac:dyDescent="0.25">
      <c r="A46" s="5" t="str">
        <f>HYPERLINK("#'6.3.1.1-2 Leach runoff pasture'!A1", "6.3.1.1-2 Leach &amp; runoff (pasture)")</f>
        <v>6.3.1.1-2 Leach &amp; runoff (pasture)</v>
      </c>
    </row>
    <row r="47" spans="1:10" ht="20.100000000000001" customHeight="1" x14ac:dyDescent="0.25">
      <c r="A47" s="5" t="str">
        <f>HYPERLINK("#'8.1.1.1-2 Transport fuel'!A1", "8.1.1.1-2 Transport fuel")</f>
        <v>8.1.1.1-2 Transport fuel</v>
      </c>
    </row>
    <row r="48" spans="1:10"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118"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4C003E1D-D4D3-4182-A3D4-94170F31AAD7}"/>
  </dataValidations>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9B43-B2E9-4F86-A84B-60F164A3088E}">
  <sheetPr>
    <tabColor theme="9" tint="-0.249977111117893"/>
  </sheetPr>
  <dimension ref="A1:AO657"/>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40" width="35" style="1" customWidth="1"/>
    <col min="41" max="41" width="5.28515625" style="1" customWidth="1"/>
    <col min="42" max="16384" width="9.140625" style="254"/>
  </cols>
  <sheetData>
    <row r="1" spans="1:41" s="20" customFormat="1" ht="30" customHeight="1" x14ac:dyDescent="0.35">
      <c r="A1" s="10" t="e" vm="1">
        <v>#VALUE!</v>
      </c>
      <c r="C1" s="20" t="s">
        <v>1213</v>
      </c>
    </row>
    <row r="2" spans="1:41" s="3" customFormat="1" ht="20.100000000000001" customHeight="1" x14ac:dyDescent="0.25">
      <c r="A2"/>
    </row>
    <row r="3" spans="1:4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5">
      <c r="A4" s="5" t="str">
        <f>HYPERLINK("#'Results - Activity period'!A1", "Results - Activity period")</f>
        <v>Results - Activity period</v>
      </c>
    </row>
    <row r="5" spans="1:41" ht="20.100000000000001" customHeight="1" x14ac:dyDescent="0.25">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5">
      <c r="A6" s="5" t="str">
        <f>HYPERLINK("#'Results'!A1", "Results")</f>
        <v>Results</v>
      </c>
      <c r="D6" s="17" t="str" cm="1">
        <f t="array" ref="D6">Scope3_Equations.VEERG_15_1_1_1__1_EmissionsFromPurchasedLivestock_Source()</f>
        <v>VEERG 2026: 15.1.1.1, Equation (1)</v>
      </c>
    </row>
    <row r="7" spans="1:41" ht="20.100000000000001" customHeight="1" x14ac:dyDescent="0.25">
      <c r="A7"/>
      <c r="D7" s="117" t="s">
        <v>343</v>
      </c>
      <c r="E7" s="117" t="str" cm="1">
        <f t="array" aca="1" ref="E7" ca="1">Common_InputFunctions.Utility_DisplayFunctionName(J23)</f>
        <v>=Scope3_Equations.VEERG_15_1_1_1__1_EmissionsFromPurchasedLivestock</v>
      </c>
    </row>
    <row r="8" spans="1:41" ht="20.100000000000001" customHeight="1" x14ac:dyDescent="0.25">
      <c r="A8"/>
    </row>
    <row r="9" spans="1:41" ht="20.100000000000001" customHeight="1" x14ac:dyDescent="0.25">
      <c r="A9" s="7" t="s">
        <v>0</v>
      </c>
      <c r="H9" s="117"/>
    </row>
    <row r="10" spans="1:41" ht="20.100000000000001" customHeight="1" x14ac:dyDescent="0.25">
      <c r="A10" s="5" t="str">
        <f>HYPERLINK("#'Input - Enterprise'!A1", "Enterprise")</f>
        <v>Enterprise</v>
      </c>
      <c r="D10" s="76" t="s">
        <v>344</v>
      </c>
      <c r="E10" s="1" t="str" cm="1">
        <f t="array" ref="E10">Scope3_Equations.VEERG_15_1_1_1__1_EmissionsFromPurchasedLivestock_Variable()</f>
        <v>E</v>
      </c>
    </row>
    <row r="11" spans="1:41" ht="20.100000000000001" customHeight="1" x14ac:dyDescent="0.25">
      <c r="A11" s="5" t="str">
        <f>HYPERLINK("#'Input - Site'!A1", "Site")</f>
        <v>Site</v>
      </c>
      <c r="D11" s="76" t="s">
        <v>118</v>
      </c>
      <c r="E11" s="9" t="str" cm="1">
        <f t="array" ref="E11">Scope3_Equations.VEERG_15_1_1_1__1_EmissionsFromPurchasedLivestock_Unit()</f>
        <v>t CO2e</v>
      </c>
    </row>
    <row r="12" spans="1:41" ht="20.100000000000001" customHeight="1" x14ac:dyDescent="0.25">
      <c r="A12" s="5" t="str">
        <f>HYPERLINK("#'Input - Dairy'!A1", "Dairy")</f>
        <v>Dairy</v>
      </c>
    </row>
    <row r="13" spans="1:41" ht="20.100000000000001" customHeight="1" x14ac:dyDescent="0.25">
      <c r="A13" s="5" t="str">
        <f>HYPERLINK("#'Input - Livestock sales'!A1", "Livestock sales")</f>
        <v>Livestock sales</v>
      </c>
      <c r="D13" s="119" t="str" cm="1">
        <f t="array" ref="D13:E17">_xlfn.CHOOSECOLS(Scope3_Equations.VEERG_15_1_1_1__1_EmissionsFromPurchasedLivestock_Arguments(),1,2)</f>
        <v>N_co</v>
      </c>
      <c r="E13" s="124" t="str">
        <v>number of animals purchased in livestock type c from origin o</v>
      </c>
      <c r="F13" s="125"/>
      <c r="G13" s="119" t="str" cm="1">
        <f t="array" ref="G13:H17">_xlfn.CHOOSECOLS(Scope3_Equations.VEERG_15_1_1_1__1_EmissionsFromPurchasedLivestock_Arguments(),3,4)</f>
        <v>head</v>
      </c>
      <c r="H13" s="268" t="str">
        <v>Input</v>
      </c>
    </row>
    <row r="14" spans="1:41" ht="20.100000000000001" customHeight="1" x14ac:dyDescent="0.25">
      <c r="A14" s="5" t="str">
        <f>HYPERLINK("#'Input - Dairy cattle purchases'!A1", "Dairy cattle purchases")</f>
        <v>Dairy cattle purchases</v>
      </c>
      <c r="D14" s="119" t="str">
        <v>W_co</v>
      </c>
      <c r="E14" s="124" t="str">
        <v>average liveweight of purchased livestock at point of purchase</v>
      </c>
      <c r="F14" s="125"/>
      <c r="G14" s="119" t="str">
        <v>kg/head</v>
      </c>
      <c r="H14" s="268" t="str">
        <v>Input</v>
      </c>
    </row>
    <row r="15" spans="1:41" ht="20.100000000000001" customHeight="1" x14ac:dyDescent="0.25">
      <c r="A15" s="5" t="str">
        <f>HYPERLINK("#'Input - Pasture'!A1", "Pasture")</f>
        <v>Pasture</v>
      </c>
      <c r="D15" s="119" t="str">
        <v>EF_co</v>
      </c>
      <c r="E15" s="124" t="str">
        <v>emission factor per livestock type and origin</v>
      </c>
      <c r="F15" s="125"/>
      <c r="G15" s="119" t="str">
        <v>kg CO2e/kg</v>
      </c>
      <c r="H15" s="127" t="str">
        <v>Constant</v>
      </c>
    </row>
    <row r="16" spans="1:41" ht="20.100000000000001" customHeight="1" x14ac:dyDescent="0.25">
      <c r="A16" s="5" t="str">
        <f>HYPERLINK("#'Input - Fert Prod System'!A1", "Fert Prod System")</f>
        <v>Fert Prod System</v>
      </c>
      <c r="D16" s="119" t="str">
        <v>c</v>
      </c>
      <c r="E16" s="124" t="str">
        <v>livestock type</v>
      </c>
      <c r="F16" s="125"/>
      <c r="G16" s="119" t="str">
        <v/>
      </c>
      <c r="H16" s="268" t="str">
        <v>Input</v>
      </c>
    </row>
    <row r="17" spans="1:16" ht="20.100000000000001" customHeight="1" x14ac:dyDescent="0.25">
      <c r="A17" s="5" t="str">
        <f>HYPERLINK("#'Input - Fertiliser'!A1", "Fertiliser")</f>
        <v>Fertiliser</v>
      </c>
      <c r="D17" s="119" t="str">
        <v>o</v>
      </c>
      <c r="E17" s="124" t="str">
        <v>origin</v>
      </c>
      <c r="F17" s="125"/>
      <c r="G17" s="119" t="str">
        <v/>
      </c>
      <c r="H17" s="268" t="str">
        <v>Input</v>
      </c>
    </row>
    <row r="18" spans="1:16" ht="20.100000000000001" customHeight="1" x14ac:dyDescent="0.25">
      <c r="A18" s="5" t="str">
        <f>HYPERLINK("#'Input - Fuel'!A1", "Fuel")</f>
        <v>Fuel</v>
      </c>
    </row>
    <row r="19" spans="1:16" ht="20.100000000000001" customHeight="1" x14ac:dyDescent="0.25">
      <c r="A19" s="5" t="str">
        <f>HYPERLINK("#'Input - Electricity'!A1", "Electricity")</f>
        <v>Electricity</v>
      </c>
      <c r="D19" s="35" t="s">
        <v>1214</v>
      </c>
      <c r="E19" s="37"/>
      <c r="F19" s="38"/>
    </row>
    <row r="20" spans="1:16" ht="20.100000000000001" customHeight="1" x14ac:dyDescent="0.25">
      <c r="A20" s="5" t="str">
        <f>HYPERLINK("#'Input - Common farm inputs'!A1", "Common farm inputs")</f>
        <v>Common farm inputs</v>
      </c>
    </row>
    <row r="21" spans="1:16" ht="20.100000000000001" customHeight="1" x14ac:dyDescent="0.25">
      <c r="A21" s="5" t="str">
        <f>HYPERLINK("#'Input - Crop pasture farm input'!A1", "Crop pasture farm input")</f>
        <v>Crop pasture farm input</v>
      </c>
      <c r="D21" s="260" t="s">
        <v>1215</v>
      </c>
    </row>
    <row r="22" spans="1:16" ht="20.100000000000001" customHeight="1" x14ac:dyDescent="0.25">
      <c r="A22" s="5" t="str">
        <f>HYPERLINK("#'Input - Livestock farm Inputs'!A1", "Livestock farm Inputs")</f>
        <v>Livestock farm Inputs</v>
      </c>
      <c r="D22" s="81" t="s">
        <v>1216</v>
      </c>
      <c r="E22" s="269" t="s">
        <v>1217</v>
      </c>
      <c r="F22" s="269" t="s">
        <v>1218</v>
      </c>
      <c r="G22" s="269" t="s">
        <v>1219</v>
      </c>
      <c r="H22" s="269" t="s">
        <v>1220</v>
      </c>
      <c r="I22" s="123" t="s">
        <v>1221</v>
      </c>
      <c r="J22" s="123" t="s">
        <v>1222</v>
      </c>
      <c r="K22" s="269" t="s">
        <v>1223</v>
      </c>
      <c r="L22" s="81" t="s">
        <v>1224</v>
      </c>
      <c r="M22" s="123" t="s">
        <v>1225</v>
      </c>
      <c r="N22" s="81" t="s">
        <v>1226</v>
      </c>
      <c r="O22" s="81" t="s">
        <v>1227</v>
      </c>
      <c r="P22" s="81" t="s">
        <v>1228</v>
      </c>
    </row>
    <row r="23" spans="1:16" ht="20.100000000000001" customHeight="1" x14ac:dyDescent="0.25">
      <c r="A23" s="5" t="str">
        <f>HYPERLINK("#'Input - Freight'!A1", "Freight")</f>
        <v>Freight</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70" cm="1">
        <f t="array" ref="J23">Scope3_Equations.VEERG_15_1_1_1__1_EmissionsFromPurchasedLivestock(G23,H23,I23)</f>
        <v>0</v>
      </c>
      <c r="K23" s="15"/>
      <c r="L23" s="75">
        <v>20</v>
      </c>
      <c r="M23" s="270" cm="1">
        <f t="array" ref="M23">Scope3_Equations.VEERG_15_1_1_1__1_EmissionsFromPurchasedLivestock(G23,K23,IF(L23, L23, I23))</f>
        <v>0</v>
      </c>
      <c r="N23" s="33" t="s">
        <v>1229</v>
      </c>
      <c r="O23" s="13" t="s">
        <v>1230</v>
      </c>
      <c r="P23" s="254" t="s">
        <v>1231</v>
      </c>
    </row>
    <row r="24" spans="1:16" ht="20.100000000000001" customHeight="1" x14ac:dyDescent="0.25">
      <c r="A24" s="5" t="str">
        <f>HYPERLINK("#'Input - Solid waste'!A1", "Solid waste")</f>
        <v>Solid waste</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70" cm="1">
        <f t="array" ref="J24">Scope3_Equations.VEERG_15_1_1_1__1_EmissionsFromPurchasedLivestock(G24,H24,I24)</f>
        <v>0</v>
      </c>
      <c r="K24" s="15"/>
      <c r="L24" s="75">
        <v>13</v>
      </c>
      <c r="M24" s="270" cm="1">
        <f t="array" ref="M24">Scope3_Equations.VEERG_15_1_1_1__1_EmissionsFromPurchasedLivestock(G24,K24,IF(L24, L24, I24))</f>
        <v>0</v>
      </c>
      <c r="N24" s="33"/>
      <c r="O24" s="13"/>
      <c r="P24" s="33"/>
    </row>
    <row r="25" spans="1:16" ht="20.100000000000001" customHeight="1" x14ac:dyDescent="0.25">
      <c r="A25" s="5" t="str">
        <f>HYPERLINK("#'Input - Manure sent off-site'!A1", "Manure sent off-site")</f>
        <v>Manure sent off-site</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70" cm="1">
        <f t="array" ref="J25">Scope3_Equations.VEERG_15_1_1_1__1_EmissionsFromPurchasedLivestock(G25,H25,I25)</f>
        <v>0</v>
      </c>
      <c r="K25" s="15"/>
      <c r="L25" s="75"/>
      <c r="M25" s="270" cm="1">
        <f t="array" ref="M25">Scope3_Equations.VEERG_15_1_1_1__1_EmissionsFromPurchasedLivestock(G25,K25,IF(L25, L25, I25))</f>
        <v>0</v>
      </c>
      <c r="N25" s="33"/>
      <c r="O25" s="13"/>
      <c r="P25" s="33"/>
    </row>
    <row r="26" spans="1:16" ht="20.100000000000001" customHeight="1" x14ac:dyDescent="0.25">
      <c r="A26" s="5" t="str">
        <f>HYPERLINK("#'Input - Data quality'!A1", "Data quality")</f>
        <v>Data quality</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70" cm="1">
        <f t="array" ref="J26">Scope3_Equations.VEERG_15_1_1_1__1_EmissionsFromPurchasedLivestock(G26,H26,I26)</f>
        <v>0</v>
      </c>
      <c r="K26" s="15"/>
      <c r="L26" s="75"/>
      <c r="M26" s="270" cm="1">
        <f t="array" ref="M26">Scope3_Equations.VEERG_15_1_1_1__1_EmissionsFromPurchasedLivestock(G26,K26,IF(L26, L26, I26))</f>
        <v>0</v>
      </c>
      <c r="N26" s="33"/>
      <c r="O26" s="13"/>
      <c r="P26" s="33"/>
    </row>
    <row r="27" spans="1:16" ht="20.100000000000001" customHeight="1" x14ac:dyDescent="0.25">
      <c r="A27"/>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70" cm="1">
        <f t="array" ref="J27">Scope3_Equations.VEERG_15_1_1_1__1_EmissionsFromPurchasedLivestock(G27,H27,I27)</f>
        <v>0</v>
      </c>
      <c r="K27" s="15"/>
      <c r="L27" s="75"/>
      <c r="M27" s="270" cm="1">
        <f t="array" ref="M27">Scope3_Equations.VEERG_15_1_1_1__1_EmissionsFromPurchasedLivestock(G27,K27,IF(L27, L27, I27))</f>
        <v>0</v>
      </c>
      <c r="N27" s="33"/>
      <c r="O27" s="13"/>
      <c r="P27" s="33"/>
    </row>
    <row r="28" spans="1:16" ht="20.100000000000001" customHeight="1" x14ac:dyDescent="0.25">
      <c r="A28"/>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70" cm="1">
        <f t="array" ref="J28">Scope3_Equations.VEERG_15_1_1_1__1_EmissionsFromPurchasedLivestock(G28,H28,I28)</f>
        <v>0</v>
      </c>
      <c r="K28" s="15"/>
      <c r="L28" s="75"/>
      <c r="M28" s="270" cm="1">
        <f t="array" ref="M28">Scope3_Equations.VEERG_15_1_1_1__1_EmissionsFromPurchasedLivestock(G28,K28,IF(L28, L28, I28))</f>
        <v>0</v>
      </c>
      <c r="N28" s="33"/>
      <c r="O28" s="13"/>
      <c r="P28" s="33"/>
    </row>
    <row r="29" spans="1:16" ht="20.100000000000001" customHeight="1" x14ac:dyDescent="0.25">
      <c r="A29" s="6" t="s">
        <v>2</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70" cm="1">
        <f t="array" ref="J29">Scope3_Equations.VEERG_15_1_1_1__1_EmissionsFromPurchasedLivestock(G29,H29,I29)</f>
        <v>0</v>
      </c>
      <c r="K29" s="15"/>
      <c r="L29" s="75"/>
      <c r="M29" s="270" cm="1">
        <f t="array" ref="M29">Scope3_Equations.VEERG_15_1_1_1__1_EmissionsFromPurchasedLivestock(G29,K29,IF(L29, L29, I29))</f>
        <v>0</v>
      </c>
      <c r="N29" s="33"/>
      <c r="O29" s="13"/>
      <c r="P29" s="33"/>
    </row>
    <row r="30" spans="1:16" ht="20.100000000000001" customHeight="1" x14ac:dyDescent="0.25">
      <c r="A30" s="5" t="str">
        <f>HYPERLINK("#'3.3.1.1-2 Enteric Methane'!A1", "3.3.1.1-2 Enteric methane")</f>
        <v>3.3.1.1-2 Enteric methane</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70" cm="1">
        <f t="array" ref="J30">Scope3_Equations.VEERG_15_1_1_1__1_EmissionsFromPurchasedLivestock(G30,H30,I30)</f>
        <v>0</v>
      </c>
      <c r="K30" s="15"/>
      <c r="L30" s="75"/>
      <c r="M30" s="270" cm="1">
        <f t="array" ref="M30">Scope3_Equations.VEERG_15_1_1_1__1_EmissionsFromPurchasedLivestock(G30,K30,IF(L30, L30, I30))</f>
        <v>0</v>
      </c>
      <c r="N30" s="33"/>
      <c r="O30" s="13"/>
      <c r="P30" s="33"/>
    </row>
    <row r="31" spans="1:16" ht="20.100000000000001" customHeight="1" x14ac:dyDescent="0.25">
      <c r="A31" s="5" t="str">
        <f>HYPERLINK("#'4.3.1.1-2 Methane'!A1", "4.3.1.1-2 Manure methane")</f>
        <v>4.3.1.1-2 Manure methane</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70" cm="1">
        <f t="array" ref="J31">Scope3_Equations.VEERG_15_1_1_1__1_EmissionsFromPurchasedLivestock(G31,H31,I31)</f>
        <v>0</v>
      </c>
      <c r="K31" s="15"/>
      <c r="L31" s="75"/>
      <c r="M31" s="270" cm="1">
        <f t="array" ref="M31">Scope3_Equations.VEERG_15_1_1_1__1_EmissionsFromPurchasedLivestock(G31,K31,IF(L31, L31, I31))</f>
        <v>0</v>
      </c>
      <c r="N31" s="33"/>
      <c r="O31" s="13"/>
      <c r="P31" s="33"/>
    </row>
    <row r="32" spans="1:16" ht="20.100000000000001" customHeight="1" x14ac:dyDescent="0.25">
      <c r="A32" s="5" t="str">
        <f>HYPERLINK("#'4.3.1.3-4 Direct N20'!A1", "4.3.1.3-4 Direct N20")</f>
        <v>4.3.1.3-4 Direct N20</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70" cm="1">
        <f t="array" ref="J32">Scope3_Equations.VEERG_15_1_1_1__1_EmissionsFromPurchasedLivestock(G32,H32,I32)</f>
        <v>0</v>
      </c>
      <c r="K32" s="15"/>
      <c r="L32" s="75"/>
      <c r="M32" s="270" cm="1">
        <f t="array" ref="M32">Scope3_Equations.VEERG_15_1_1_1__1_EmissionsFromPurchasedLivestock(G32,K32,IF(L32, L32, I32))</f>
        <v>0</v>
      </c>
      <c r="N32" s="33"/>
      <c r="O32" s="13"/>
      <c r="P32" s="33"/>
    </row>
    <row r="33" spans="1:13" ht="20.100000000000001" customHeight="1" x14ac:dyDescent="0.25">
      <c r="A33" s="5" t="str">
        <f>HYPERLINK("#'4.3.1.5 Atmos deposition'!A1", "4.3.1.5 Atmos deposition")</f>
        <v>4.3.1.5 Atmos deposition</v>
      </c>
    </row>
    <row r="34" spans="1:13" ht="20.100000000000001" customHeight="1" x14ac:dyDescent="0.25">
      <c r="A34" s="5" t="str">
        <f>HYPERLINK("#'4.3.1.6-7 Leaching and runoff'!A1", "4.3.1.6-7 Leaching &amp; runoff")</f>
        <v>4.3.1.6-7 Leaching &amp; runoff</v>
      </c>
      <c r="D34" s="93" t="s">
        <v>1232</v>
      </c>
      <c r="E34" s="89">
        <f>SUM(J23:J32)</f>
        <v>0</v>
      </c>
      <c r="F34" s="94" t="str">
        <f>$E$11</f>
        <v>t CO2e</v>
      </c>
    </row>
    <row r="35" spans="1:13" ht="20.100000000000001" customHeight="1" x14ac:dyDescent="0.25">
      <c r="A35" s="5" t="str">
        <f>HYPERLINK("#'4.3.1.8 Manure applied to soils'!A1", "4.3.1.8 Manure applied to soils")</f>
        <v>4.3.1.8 Manure applied to soils</v>
      </c>
      <c r="D35" s="93" t="s">
        <v>1233</v>
      </c>
      <c r="E35" s="89">
        <f>SUM(M23:M32)</f>
        <v>0</v>
      </c>
      <c r="F35" s="94" t="str">
        <f>$E$11</f>
        <v>t CO2e</v>
      </c>
    </row>
    <row r="36" spans="1:13" ht="20.100000000000001" customHeight="1" x14ac:dyDescent="0.25">
      <c r="A36" s="5" t="str">
        <f>HYPERLINK("#'4.3.1.9 Soil direct N2O'!A1", "4.3.1.9 Soil direct N2O")</f>
        <v>4.3.1.9 Soil direct N2O</v>
      </c>
    </row>
    <row r="37" spans="1:13" ht="20.100000000000001" customHeight="1" x14ac:dyDescent="0.25">
      <c r="A37" s="5" t="str">
        <f>HYPERLINK("#'4.3.1.10-11 Soil Atmos Dep'!A1", "4.3.1.10-11 Soil Atmos Deposition")</f>
        <v>4.3.1.10-11 Soil Atmos Deposition</v>
      </c>
    </row>
    <row r="38" spans="1:13" ht="20.100000000000001" customHeight="1" x14ac:dyDescent="0.25">
      <c r="A38" s="5" t="str">
        <f>HYPERLINK("#'4.3.1.12-13 Soil leach runoff'!A1", "4.3.1.12-13 Soil leach &amp; runoff")</f>
        <v>4.3.1.12-13 Soil leach &amp; runoff</v>
      </c>
      <c r="D38" s="260" t="s">
        <v>1234</v>
      </c>
    </row>
    <row r="39" spans="1:13" ht="20.100000000000001" customHeight="1" x14ac:dyDescent="0.25">
      <c r="A39" s="5" t="str">
        <f>HYPERLINK("#'5.1.1.1-2 Inorganic fert N2O'!A1", "5.1.1.1-2 Inorganic fert N2O")</f>
        <v>5.1.1.1-2 Inorganic fert N2O</v>
      </c>
      <c r="D39" s="119" t="s">
        <v>1235</v>
      </c>
      <c r="E39" s="15" cm="1">
        <f t="array" ref="E39">Common_InputFunctions.Utility_LookupValueInTableNumber("Dairy cows", Table_SourceData_Scope3_Animals[Product],Table_SourceData_Scope3_Animals[Emissions intensity])</f>
        <v>4.41</v>
      </c>
    </row>
    <row r="40" spans="1:13" ht="20.100000000000001" customHeight="1" x14ac:dyDescent="0.25">
      <c r="A40" s="5" t="str">
        <f>HYPERLINK("#'5.1.1.3-4 Inorganic fert CO2'!A1", "5.1.1.3-4 Inorganic fert CO2")</f>
        <v>5.1.1.3-4 Inorganic fert CO2</v>
      </c>
    </row>
    <row r="41" spans="1:13" ht="20.100000000000001" customHeight="1" x14ac:dyDescent="0.25">
      <c r="A41" s="5" t="str">
        <f>HYPERLINK("#'5.2.1.1-2 Organic Fert N2O'!A1", "5.2.1.1-2 Organic fert N2O")</f>
        <v>5.2.1.1-2 Organic fert N2O</v>
      </c>
      <c r="D41" s="81" t="s">
        <v>1216</v>
      </c>
      <c r="E41" s="269" t="s">
        <v>1219</v>
      </c>
      <c r="F41" s="269" t="s">
        <v>1220</v>
      </c>
      <c r="G41" s="123" t="s">
        <v>1222</v>
      </c>
      <c r="H41" s="269" t="s">
        <v>1223</v>
      </c>
      <c r="I41" s="81" t="s">
        <v>1224</v>
      </c>
      <c r="J41" s="123" t="s">
        <v>1225</v>
      </c>
      <c r="K41" s="81" t="s">
        <v>1226</v>
      </c>
      <c r="L41" s="81" t="s">
        <v>1227</v>
      </c>
      <c r="M41" s="81" t="s">
        <v>1228</v>
      </c>
    </row>
    <row r="42" spans="1:13" ht="20.100000000000001" customHeight="1" x14ac:dyDescent="0.25">
      <c r="A42" s="5" t="str">
        <f>HYPERLINK("#'5.3.1.1-2 Lime CO2'!A1", "5.3.1.1-2 Lime CO2")</f>
        <v>5.3.1.1-2 Lime CO2</v>
      </c>
      <c r="D42" s="15" t="str" cm="1">
        <f t="array" ref="D42:D51">IFERROR(INDEX(Table_Input_LivestockPurchases_Dairy[Transaction name], _xlfn.SEQUENCE(10)), "")</f>
        <v>Dairy cows from Denise</v>
      </c>
      <c r="E42" s="15" cm="1">
        <f t="array" ref="E42:E51">IFERROR(INDEX(Table_Input_LivestockPurchases_Dairy[Quantity (head)], _xlfn.SEQUENCE(10)), 0)</f>
        <v>100</v>
      </c>
      <c r="F42" s="15" cm="1">
        <f t="array" ref="F42:F51">IFERROR(INDEX(Table_Input_LivestockPurchases_Dairy[Liveweight (kg/head) Method 1], _xlfn.SEQUENCE(10)), 0)</f>
        <v>130</v>
      </c>
      <c r="G42" s="270" cm="1">
        <f t="array" ref="G42">Scope3_Equations.VEERG_15_1_1_1__1_EmissionsFromPurchasedLivestock(E42,F42,$E$39)</f>
        <v>57.33</v>
      </c>
      <c r="H42" s="15" cm="1">
        <f t="array" ref="H42:H51">IFERROR(INDEX(Table_Input_LivestockPurchases_Dairy[Liveweight (kg/head) Method 2], _xlfn.SEQUENCE(10)), "")</f>
        <v>350</v>
      </c>
      <c r="I42" s="75">
        <v>4</v>
      </c>
      <c r="J42" s="270" cm="1">
        <f t="array" ref="J42">Scope3_Equations.VEERG_15_1_1_1__1_EmissionsFromPurchasedLivestock(E42,H42,IF(I42,I42,$E$39))</f>
        <v>140</v>
      </c>
      <c r="K42" s="33" t="s">
        <v>1229</v>
      </c>
      <c r="L42" s="13" t="s">
        <v>1230</v>
      </c>
      <c r="M42" s="254" t="s">
        <v>1231</v>
      </c>
    </row>
    <row r="43" spans="1:13" ht="20.100000000000001" customHeight="1" x14ac:dyDescent="0.25">
      <c r="A43" s="5" t="str">
        <f>HYPERLINK("#'5.4.1.1-4 Atmos deposition'!A1", "5.4.1.1-4 Atmos. deposition")</f>
        <v>5.4.1.1-4 Atmos. deposition</v>
      </c>
      <c r="D43" s="15">
        <v>0</v>
      </c>
      <c r="E43" s="15">
        <v>100</v>
      </c>
      <c r="F43" s="15">
        <v>540</v>
      </c>
      <c r="G43" s="270" cm="1">
        <f t="array" ref="G43">Scope3_Equations.VEERG_15_1_1_1__1_EmissionsFromPurchasedLivestock(E43,F43,$E$39)</f>
        <v>238.14000000000001</v>
      </c>
      <c r="H43" s="15">
        <v>625</v>
      </c>
      <c r="I43" s="75"/>
      <c r="J43" s="270" cm="1">
        <f t="array" ref="J43">Scope3_Equations.VEERG_15_1_1_1__1_EmissionsFromPurchasedLivestock(E43,H43,IF(I43,I43,$E$39))</f>
        <v>275.625</v>
      </c>
      <c r="K43" s="33"/>
      <c r="L43" s="13"/>
      <c r="M43" s="33"/>
    </row>
    <row r="44" spans="1:13" ht="20.100000000000001" customHeight="1" x14ac:dyDescent="0.25">
      <c r="A44" s="5" t="str">
        <f>HYPERLINK("#'5.5.1.1-2 Leaching and runoff'!A1", "5.5.1.1-2 Leaching &amp; runoff")</f>
        <v>5.5.1.1-2 Leaching &amp; runoff</v>
      </c>
      <c r="D44" s="15">
        <v>0</v>
      </c>
      <c r="E44" s="15">
        <v>0</v>
      </c>
      <c r="F44" s="15">
        <v>315</v>
      </c>
      <c r="G44" s="270" cm="1">
        <f t="array" ref="G44">Scope3_Equations.VEERG_15_1_1_1__1_EmissionsFromPurchasedLivestock(E44,F44,$E$39)</f>
        <v>0</v>
      </c>
      <c r="H44" s="15">
        <v>0</v>
      </c>
      <c r="I44" s="75"/>
      <c r="J44" s="270" cm="1">
        <f t="array" ref="J44">Scope3_Equations.VEERG_15_1_1_1__1_EmissionsFromPurchasedLivestock(E44,H44,IF(I44,I44,$E$39))</f>
        <v>0</v>
      </c>
      <c r="K44" s="33"/>
      <c r="L44" s="13"/>
      <c r="M44" s="33"/>
    </row>
    <row r="45" spans="1:13" ht="20.100000000000001" customHeight="1" x14ac:dyDescent="0.25">
      <c r="A45" s="5" t="str">
        <f>HYPERLINK("#'6.2.1.1-2 Pasture residue N2O'!A1", "6.2.1.1-2 Pasture residue N2O")</f>
        <v>6.2.1.1-2 Pasture residue N2O</v>
      </c>
      <c r="D45" s="15">
        <v>0</v>
      </c>
      <c r="E45" s="15">
        <v>0</v>
      </c>
      <c r="F45" s="15">
        <v>0</v>
      </c>
      <c r="G45" s="270" cm="1">
        <f t="array" ref="G45">Scope3_Equations.VEERG_15_1_1_1__1_EmissionsFromPurchasedLivestock(E45,F45,$E$39)</f>
        <v>0</v>
      </c>
      <c r="H45" s="15">
        <v>0</v>
      </c>
      <c r="I45" s="75"/>
      <c r="J45" s="270" cm="1">
        <f t="array" ref="J45">Scope3_Equations.VEERG_15_1_1_1__1_EmissionsFromPurchasedLivestock(E45,H45,IF(I45,I45,$E$39))</f>
        <v>0</v>
      </c>
      <c r="K45" s="33"/>
      <c r="L45" s="13"/>
      <c r="M45" s="33"/>
    </row>
    <row r="46" spans="1:13" ht="20.100000000000001" customHeight="1" x14ac:dyDescent="0.25">
      <c r="A46" s="5" t="str">
        <f>HYPERLINK("#'6.3.1.1-2 Leach runoff pasture'!A1", "6.3.1.1-2 Leach &amp; runoff (pasture)")</f>
        <v>6.3.1.1-2 Leach &amp; runoff (pasture)</v>
      </c>
      <c r="D46" s="15">
        <v>0</v>
      </c>
      <c r="E46" s="15">
        <v>0</v>
      </c>
      <c r="F46" s="15">
        <v>0</v>
      </c>
      <c r="G46" s="270" cm="1">
        <f t="array" ref="G46">Scope3_Equations.VEERG_15_1_1_1__1_EmissionsFromPurchasedLivestock(E46,F46,$E$39)</f>
        <v>0</v>
      </c>
      <c r="H46" s="15">
        <v>0</v>
      </c>
      <c r="I46" s="75"/>
      <c r="J46" s="270" cm="1">
        <f t="array" ref="J46">Scope3_Equations.VEERG_15_1_1_1__1_EmissionsFromPurchasedLivestock(E46,H46,IF(I46,I46,$E$39))</f>
        <v>0</v>
      </c>
      <c r="K46" s="33"/>
      <c r="L46" s="13"/>
      <c r="M46" s="33"/>
    </row>
    <row r="47" spans="1:13" ht="20.100000000000001" customHeight="1" x14ac:dyDescent="0.25">
      <c r="A47" s="5" t="str">
        <f>HYPERLINK("#'8.1.1.1-2 Transport fuel'!A1", "8.1.1.1-2 Transport fuel")</f>
        <v>8.1.1.1-2 Transport fuel</v>
      </c>
      <c r="D47" s="15">
        <v>0</v>
      </c>
      <c r="E47" s="15">
        <v>0</v>
      </c>
      <c r="F47" s="15">
        <v>0</v>
      </c>
      <c r="G47" s="270" cm="1">
        <f t="array" ref="G47">Scope3_Equations.VEERG_15_1_1_1__1_EmissionsFromPurchasedLivestock(E47,F47,$E$39)</f>
        <v>0</v>
      </c>
      <c r="H47" s="15">
        <v>0</v>
      </c>
      <c r="I47" s="75"/>
      <c r="J47" s="270" cm="1">
        <f t="array" ref="J47">Scope3_Equations.VEERG_15_1_1_1__1_EmissionsFromPurchasedLivestock(E47,H47,IF(I47,I47,$E$39))</f>
        <v>0</v>
      </c>
      <c r="K47" s="33"/>
      <c r="L47" s="13"/>
      <c r="M47" s="33"/>
    </row>
    <row r="48" spans="1:13" ht="20.100000000000001" customHeight="1" x14ac:dyDescent="0.25">
      <c r="A48" s="5" t="str">
        <f>HYPERLINK("#'8.2.1.1-2 Stationary fuel'!A1", "8.2.1.1-2 Stationary fuel")</f>
        <v>8.2.1.1-2 Stationary fuel</v>
      </c>
      <c r="D48" s="15">
        <v>0</v>
      </c>
      <c r="E48" s="15">
        <v>0</v>
      </c>
      <c r="F48" s="15">
        <v>0</v>
      </c>
      <c r="G48" s="270" cm="1">
        <f t="array" ref="G48">Scope3_Equations.VEERG_15_1_1_1__1_EmissionsFromPurchasedLivestock(E48,F48,$E$39)</f>
        <v>0</v>
      </c>
      <c r="H48" s="15">
        <v>0</v>
      </c>
      <c r="I48" s="75"/>
      <c r="J48" s="270" cm="1">
        <f t="array" ref="J48">Scope3_Equations.VEERG_15_1_1_1__1_EmissionsFromPurchasedLivestock(E48,H48,IF(I48,I48,$E$39))</f>
        <v>0</v>
      </c>
      <c r="K48" s="33"/>
      <c r="L48" s="13"/>
      <c r="M48" s="33"/>
    </row>
    <row r="49" spans="1:13" ht="20.100000000000001" customHeight="1" x14ac:dyDescent="0.25">
      <c r="A49" s="5" t="str">
        <f>HYPERLINK("#'10.1.1-2 Solid waste treatment'!A1", "10.1.1.1-2 Solid waste")</f>
        <v>10.1.1.1-2 Solid waste</v>
      </c>
      <c r="D49" s="15">
        <v>0</v>
      </c>
      <c r="E49" s="15">
        <v>0</v>
      </c>
      <c r="F49" s="15">
        <v>0</v>
      </c>
      <c r="G49" s="270" cm="1">
        <f t="array" ref="G49">Scope3_Equations.VEERG_15_1_1_1__1_EmissionsFromPurchasedLivestock(E49,F49,$E$39)</f>
        <v>0</v>
      </c>
      <c r="H49" s="15">
        <v>0</v>
      </c>
      <c r="I49" s="75"/>
      <c r="J49" s="270" cm="1">
        <f t="array" ref="J49">Scope3_Equations.VEERG_15_1_1_1__1_EmissionsFromPurchasedLivestock(E49,H49,IF(I49,I49,$E$39))</f>
        <v>0</v>
      </c>
      <c r="K49" s="33"/>
      <c r="L49" s="13"/>
      <c r="M49" s="33"/>
    </row>
    <row r="50" spans="1:13" ht="20.100000000000001" customHeight="1" x14ac:dyDescent="0.25">
      <c r="A50" s="5" t="str">
        <f>HYPERLINK("#'14.1.1-2 Purchased electricity'!A1", "14.1.1-2 Purchased electricity")</f>
        <v>14.1.1-2 Purchased electricity</v>
      </c>
      <c r="D50" s="15">
        <v>0</v>
      </c>
      <c r="E50" s="15">
        <v>0</v>
      </c>
      <c r="F50" s="15">
        <v>0</v>
      </c>
      <c r="G50" s="270" cm="1">
        <f t="array" ref="G50">Scope3_Equations.VEERG_15_1_1_1__1_EmissionsFromPurchasedLivestock(E50,F50,$E$39)</f>
        <v>0</v>
      </c>
      <c r="H50" s="15">
        <v>0</v>
      </c>
      <c r="I50" s="75"/>
      <c r="J50" s="270" cm="1">
        <f t="array" ref="J50">Scope3_Equations.VEERG_15_1_1_1__1_EmissionsFromPurchasedLivestock(E50,H50,IF(I50,I50,$E$39))</f>
        <v>0</v>
      </c>
      <c r="K50" s="33"/>
      <c r="L50" s="13"/>
      <c r="M50" s="33"/>
    </row>
    <row r="51" spans="1:13" ht="20.100000000000001" customHeight="1" x14ac:dyDescent="0.25">
      <c r="A51" s="118" t="str">
        <f>HYPERLINK("#'15 Scope 3'!A1", "15 Scope 3")</f>
        <v>15 Scope 3</v>
      </c>
      <c r="D51" s="15">
        <v>0</v>
      </c>
      <c r="E51" s="15">
        <v>0</v>
      </c>
      <c r="F51" s="15">
        <v>0</v>
      </c>
      <c r="G51" s="270" cm="1">
        <f t="array" ref="G51">Scope3_Equations.VEERG_15_1_1_1__1_EmissionsFromPurchasedLivestock(E51,F51,$E$39)</f>
        <v>0</v>
      </c>
      <c r="H51" s="15">
        <v>0</v>
      </c>
      <c r="I51" s="75"/>
      <c r="J51" s="270" cm="1">
        <f t="array" ref="J51">Scope3_Equations.VEERG_15_1_1_1__1_EmissionsFromPurchasedLivestock(E51,H51,IF(I51,I51,$E$39))</f>
        <v>0</v>
      </c>
      <c r="K51" s="33"/>
      <c r="L51" s="13"/>
      <c r="M51" s="33"/>
    </row>
    <row r="52" spans="1:13" ht="20.100000000000001" customHeight="1" x14ac:dyDescent="0.25">
      <c r="A52" s="5" t="str">
        <f>HYPERLINK("#'Calcs - Manure sent off-site'!A1", "Calcs - Manure sent off-site")</f>
        <v>Calcs - Manure sent off-site</v>
      </c>
    </row>
    <row r="53" spans="1:13" ht="20.100000000000001" customHeight="1" x14ac:dyDescent="0.25">
      <c r="A53"/>
      <c r="D53" s="93" t="s">
        <v>1236</v>
      </c>
      <c r="E53" s="89">
        <f>SUM(G42:G51)</f>
        <v>295.47000000000003</v>
      </c>
      <c r="F53" s="94" t="str">
        <f>$E$11</f>
        <v>t CO2e</v>
      </c>
    </row>
    <row r="54" spans="1:13" ht="20.100000000000001" customHeight="1" x14ac:dyDescent="0.25">
      <c r="A54"/>
      <c r="D54" s="93" t="s">
        <v>1237</v>
      </c>
      <c r="E54" s="89">
        <f>SUM(J42:J51)</f>
        <v>415.625</v>
      </c>
      <c r="F54" s="94" t="str">
        <f>$E$11</f>
        <v>t CO2e</v>
      </c>
    </row>
    <row r="55" spans="1:13" ht="20.100000000000001" customHeight="1" x14ac:dyDescent="0.25">
      <c r="A55" s="83" t="s">
        <v>1</v>
      </c>
    </row>
    <row r="56" spans="1:13" ht="20.100000000000001" customHeight="1" x14ac:dyDescent="0.25">
      <c r="A56" s="5" t="str">
        <f>HYPERLINK("#'Constants - Dairy'!A1", "Constants - Dairy")</f>
        <v>Constants - Dairy</v>
      </c>
    </row>
    <row r="57" spans="1:13" ht="20.100000000000001" customHeight="1" x14ac:dyDescent="0.25">
      <c r="A57" s="5" t="str">
        <f>HYPERLINK("#'Constants - Ag Residue'!A1", "Constants - Ag residue")</f>
        <v>Constants - Ag residue</v>
      </c>
      <c r="D57" s="260" t="s">
        <v>1238</v>
      </c>
    </row>
    <row r="58" spans="1:13" ht="20.100000000000001" customHeight="1" x14ac:dyDescent="0.25">
      <c r="A58" s="5" t="str">
        <f>HYPERLINK("#'Constants - Common Livestock'!A1", "Constants - Common Livestock")</f>
        <v>Constants - Common Livestock</v>
      </c>
      <c r="D58" s="119" t="s">
        <v>1235</v>
      </c>
      <c r="E58" s="15" cm="1">
        <f t="array" ref="E58">Common_InputFunctions.Utility_LookupValueInTableNumber("Pigs", Table_SourceData_Scope3_Animals[Product],Table_SourceData_Scope3_Animals[Emissions intensity])</f>
        <v>3.38</v>
      </c>
    </row>
    <row r="59" spans="1:13" ht="20.100000000000001" customHeight="1" x14ac:dyDescent="0.25">
      <c r="A59" s="5" t="str">
        <f>HYPERLINK("#'Constants - Electricity'!A1", "Constants - Electricity")</f>
        <v>Constants - Electricity</v>
      </c>
    </row>
    <row r="60" spans="1:13" ht="20.100000000000001" customHeight="1" x14ac:dyDescent="0.25">
      <c r="A60" s="5" t="str">
        <f>HYPERLINK("#'Constants - Fertiliser'!A1", "Constants - Fertiliser")</f>
        <v>Constants - Fertiliser</v>
      </c>
      <c r="D60" s="81" t="s">
        <v>1216</v>
      </c>
      <c r="E60" s="269" t="s">
        <v>1219</v>
      </c>
      <c r="F60" s="269" t="s">
        <v>1220</v>
      </c>
      <c r="G60" s="123" t="s">
        <v>1222</v>
      </c>
      <c r="H60" s="269" t="s">
        <v>1223</v>
      </c>
      <c r="I60" s="81" t="s">
        <v>1224</v>
      </c>
      <c r="J60" s="123" t="s">
        <v>1225</v>
      </c>
      <c r="K60" s="81" t="s">
        <v>1226</v>
      </c>
      <c r="L60" s="81" t="s">
        <v>1227</v>
      </c>
      <c r="M60" s="81" t="s">
        <v>1228</v>
      </c>
    </row>
    <row r="61" spans="1:13" ht="20.100000000000001" customHeight="1" x14ac:dyDescent="0.25">
      <c r="A61" s="5" t="str">
        <f>HYPERLINK("#'Constants - Fuel'!A1", "Constants - Fuel")</f>
        <v>Constants - Fuel</v>
      </c>
      <c r="D61" s="15"/>
      <c r="E61" s="15"/>
      <c r="F61" s="15"/>
      <c r="G61" s="270" cm="1">
        <f t="array" ref="G61">Scope3_Equations.VEERG_15_1_1_1__1_EmissionsFromPurchasedLivestock(E61,F61,$E$58)</f>
        <v>0</v>
      </c>
      <c r="H61" s="15"/>
      <c r="I61" s="75">
        <v>3.38</v>
      </c>
      <c r="J61" s="270" cm="1">
        <f t="array" ref="J61">Scope3_Equations.VEERG_15_1_1_1__1_EmissionsFromPurchasedLivestock(E61,H61,IF(I61, I61,$E$58))</f>
        <v>0</v>
      </c>
      <c r="K61" s="33"/>
      <c r="L61" s="13"/>
      <c r="M61" s="254"/>
    </row>
    <row r="62" spans="1:13" ht="20.100000000000001" customHeight="1" x14ac:dyDescent="0.25">
      <c r="A62" s="5" t="str">
        <f>HYPERLINK("#'Constants - Scope 3'!A1", "Constants - Scope 3")</f>
        <v>Constants - Scope 3</v>
      </c>
      <c r="D62" s="15"/>
      <c r="E62" s="15"/>
      <c r="F62" s="15"/>
      <c r="G62" s="270" cm="1">
        <f t="array" ref="G62">Scope3_Equations.VEERG_15_1_1_1__1_EmissionsFromPurchasedLivestock(E62,F62,$E$58)</f>
        <v>0</v>
      </c>
      <c r="H62" s="15"/>
      <c r="I62" s="75">
        <v>3.3</v>
      </c>
      <c r="J62" s="270" cm="1">
        <f t="array" ref="J62">Scope3_Equations.VEERG_15_1_1_1__1_EmissionsFromPurchasedLivestock(E62,H62,IF(I62, I62,$E$58))</f>
        <v>0</v>
      </c>
      <c r="K62" s="33"/>
      <c r="L62" s="13"/>
      <c r="M62" s="33"/>
    </row>
    <row r="63" spans="1:13" ht="20.100000000000001" customHeight="1" x14ac:dyDescent="0.25">
      <c r="A63" s="5" t="str">
        <f>HYPERLINK("#'Constants - Common'!A1", "Constants - Common")</f>
        <v>Constants - Common</v>
      </c>
      <c r="D63" s="15"/>
      <c r="E63" s="15"/>
      <c r="F63" s="15"/>
      <c r="G63" s="270" cm="1">
        <f t="array" ref="G63">Scope3_Equations.VEERG_15_1_1_1__1_EmissionsFromPurchasedLivestock(E63,F63,$E$58)</f>
        <v>0</v>
      </c>
      <c r="H63" s="15"/>
      <c r="I63" s="75"/>
      <c r="J63" s="270" cm="1">
        <f t="array" ref="J63">Scope3_Equations.VEERG_15_1_1_1__1_EmissionsFromPurchasedLivestock(E63,H63,IF(I63, I63,$E$58))</f>
        <v>0</v>
      </c>
      <c r="K63" s="33"/>
      <c r="L63" s="13"/>
      <c r="M63" s="33"/>
    </row>
    <row r="64" spans="1:13" ht="20.100000000000001" customHeight="1" x14ac:dyDescent="0.25">
      <c r="A64" s="5" t="str">
        <f>HYPERLINK("#'Constants - Solid Waste'!A1", "Constants - Solid Waste")</f>
        <v>Constants - Solid Waste</v>
      </c>
      <c r="D64" s="15"/>
      <c r="E64" s="15"/>
      <c r="F64" s="15"/>
      <c r="G64" s="270" cm="1">
        <f t="array" ref="G64">Scope3_Equations.VEERG_15_1_1_1__1_EmissionsFromPurchasedLivestock(E64,F64,$E$58)</f>
        <v>0</v>
      </c>
      <c r="H64" s="15"/>
      <c r="I64" s="75"/>
      <c r="J64" s="270" cm="1">
        <f t="array" ref="J64">Scope3_Equations.VEERG_15_1_1_1__1_EmissionsFromPurchasedLivestock(E64,H64,IF(I64, I64,$E$58))</f>
        <v>0</v>
      </c>
      <c r="K64" s="33"/>
      <c r="L64" s="13"/>
      <c r="M64" s="33"/>
    </row>
    <row r="65" spans="1:13" ht="20.100000000000001" customHeight="1" x14ac:dyDescent="0.25">
      <c r="A65" s="5" t="str">
        <f>HYPERLINK("#'Acknowledgements'!A1", "Acknowledgements")</f>
        <v>Acknowledgements</v>
      </c>
      <c r="D65" s="15"/>
      <c r="E65" s="15"/>
      <c r="F65" s="15"/>
      <c r="G65" s="270" cm="1">
        <f t="array" ref="G65">Scope3_Equations.VEERG_15_1_1_1__1_EmissionsFromPurchasedLivestock(E65,F65,$E$58)</f>
        <v>0</v>
      </c>
      <c r="H65" s="15"/>
      <c r="I65" s="75"/>
      <c r="J65" s="270" cm="1">
        <f t="array" ref="J65">Scope3_Equations.VEERG_15_1_1_1__1_EmissionsFromPurchasedLivestock(E65,H65,IF(I65, I65,$E$58))</f>
        <v>0</v>
      </c>
      <c r="K65" s="33"/>
      <c r="L65" s="13"/>
      <c r="M65" s="33"/>
    </row>
    <row r="66" spans="1:13" ht="20.100000000000001" customHeight="1" x14ac:dyDescent="0.25">
      <c r="A66"/>
      <c r="D66" s="15"/>
      <c r="E66" s="15"/>
      <c r="F66" s="15"/>
      <c r="G66" s="270" cm="1">
        <f t="array" ref="G66">Scope3_Equations.VEERG_15_1_1_1__1_EmissionsFromPurchasedLivestock(E66,F66,$E$58)</f>
        <v>0</v>
      </c>
      <c r="H66" s="15"/>
      <c r="I66" s="75"/>
      <c r="J66" s="270" cm="1">
        <f t="array" ref="J66">Scope3_Equations.VEERG_15_1_1_1__1_EmissionsFromPurchasedLivestock(E66,H66,IF(I66, I66,$E$58))</f>
        <v>0</v>
      </c>
      <c r="K66" s="33"/>
      <c r="L66" s="13"/>
      <c r="M66" s="33"/>
    </row>
    <row r="67" spans="1:13" ht="20.100000000000001" customHeight="1" x14ac:dyDescent="0.25">
      <c r="A67"/>
      <c r="D67" s="15"/>
      <c r="E67" s="15"/>
      <c r="F67" s="15"/>
      <c r="G67" s="270" cm="1">
        <f t="array" ref="G67">Scope3_Equations.VEERG_15_1_1_1__1_EmissionsFromPurchasedLivestock(E67,F67,$E$58)</f>
        <v>0</v>
      </c>
      <c r="H67" s="15"/>
      <c r="I67" s="75"/>
      <c r="J67" s="270" cm="1">
        <f t="array" ref="J67">Scope3_Equations.VEERG_15_1_1_1__1_EmissionsFromPurchasedLivestock(E67,H67,IF(I67, I67,$E$58))</f>
        <v>0</v>
      </c>
      <c r="K67" s="33"/>
      <c r="L67" s="13"/>
      <c r="M67" s="33"/>
    </row>
    <row r="68" spans="1:13" ht="20.100000000000001" customHeight="1" x14ac:dyDescent="0.25">
      <c r="A68"/>
      <c r="D68" s="15"/>
      <c r="E68" s="15"/>
      <c r="F68" s="15"/>
      <c r="G68" s="270" cm="1">
        <f t="array" ref="G68">Scope3_Equations.VEERG_15_1_1_1__1_EmissionsFromPurchasedLivestock(E68,F68,$E$58)</f>
        <v>0</v>
      </c>
      <c r="H68" s="15"/>
      <c r="I68" s="75"/>
      <c r="J68" s="270" cm="1">
        <f t="array" ref="J68">Scope3_Equations.VEERG_15_1_1_1__1_EmissionsFromPurchasedLivestock(E68,H68,IF(I68, I68,$E$58))</f>
        <v>0</v>
      </c>
      <c r="K68" s="33"/>
      <c r="L68" s="13"/>
      <c r="M68" s="33"/>
    </row>
    <row r="69" spans="1:13" ht="20.100000000000001" customHeight="1" x14ac:dyDescent="0.25">
      <c r="A69"/>
      <c r="D69" s="15"/>
      <c r="E69" s="15"/>
      <c r="F69" s="15"/>
      <c r="G69" s="270" cm="1">
        <f t="array" ref="G69">Scope3_Equations.VEERG_15_1_1_1__1_EmissionsFromPurchasedLivestock(E69,F69,$E$58)</f>
        <v>0</v>
      </c>
      <c r="H69" s="15"/>
      <c r="I69" s="75"/>
      <c r="J69" s="270" cm="1">
        <f t="array" ref="J69">Scope3_Equations.VEERG_15_1_1_1__1_EmissionsFromPurchasedLivestock(E69,H69,IF(I69, I69,$E$58))</f>
        <v>0</v>
      </c>
      <c r="K69" s="33"/>
      <c r="L69" s="13"/>
      <c r="M69" s="33"/>
    </row>
    <row r="70" spans="1:13" ht="20.100000000000001" customHeight="1" x14ac:dyDescent="0.25">
      <c r="A70"/>
      <c r="D70" s="15"/>
      <c r="E70" s="15"/>
      <c r="F70" s="15"/>
      <c r="G70" s="270" cm="1">
        <f t="array" ref="G70">Scope3_Equations.VEERG_15_1_1_1__1_EmissionsFromPurchasedLivestock(E70,F70,$E$58)</f>
        <v>0</v>
      </c>
      <c r="H70" s="15"/>
      <c r="I70" s="75"/>
      <c r="J70" s="270" cm="1">
        <f t="array" ref="J70">Scope3_Equations.VEERG_15_1_1_1__1_EmissionsFromPurchasedLivestock(E70,H70,IF(I70, I70,$E$58))</f>
        <v>0</v>
      </c>
      <c r="K70" s="33"/>
      <c r="L70" s="13"/>
      <c r="M70" s="33"/>
    </row>
    <row r="71" spans="1:13" ht="20.100000000000001" customHeight="1" x14ac:dyDescent="0.25">
      <c r="A71"/>
    </row>
    <row r="72" spans="1:13" ht="20.100000000000001" customHeight="1" x14ac:dyDescent="0.25">
      <c r="A72"/>
      <c r="D72" s="93" t="s">
        <v>1239</v>
      </c>
      <c r="E72" s="89">
        <f>SUM(G61:G70)</f>
        <v>0</v>
      </c>
      <c r="F72" s="94" t="str">
        <f>$E$11</f>
        <v>t CO2e</v>
      </c>
    </row>
    <row r="73" spans="1:13" ht="20.100000000000001" customHeight="1" x14ac:dyDescent="0.25">
      <c r="A73"/>
      <c r="D73" s="93" t="s">
        <v>1240</v>
      </c>
      <c r="E73" s="89">
        <f>SUM(J61:J70)</f>
        <v>0</v>
      </c>
      <c r="F73" s="94" t="str">
        <f>$E$11</f>
        <v>t CO2e</v>
      </c>
    </row>
    <row r="74" spans="1:13" ht="20.100000000000001" customHeight="1" x14ac:dyDescent="0.25">
      <c r="A74"/>
    </row>
    <row r="75" spans="1:13" ht="20.100000000000001" customHeight="1" x14ac:dyDescent="0.25">
      <c r="A75"/>
      <c r="D75" s="260" t="s">
        <v>1241</v>
      </c>
    </row>
    <row r="76" spans="1:13" ht="20.100000000000001" customHeight="1" x14ac:dyDescent="0.25">
      <c r="A76"/>
      <c r="D76" s="119" t="s">
        <v>1235</v>
      </c>
      <c r="E76" s="15" cm="1">
        <f t="array" ref="E76">Common_InputFunctions.Utility_LookupValueInTableNumber("Chickens", Table_SourceData_Scope3_Animals[Product],Table_SourceData_Scope3_Animals[Emissions intensity])</f>
        <v>1.36</v>
      </c>
    </row>
    <row r="77" spans="1:13" ht="20.100000000000001" customHeight="1" x14ac:dyDescent="0.25">
      <c r="A77"/>
    </row>
    <row r="78" spans="1:13" ht="20.100000000000001" customHeight="1" x14ac:dyDescent="0.25">
      <c r="A78"/>
      <c r="D78" s="81" t="s">
        <v>1216</v>
      </c>
      <c r="E78" s="269" t="s">
        <v>1219</v>
      </c>
      <c r="F78" s="269" t="s">
        <v>1220</v>
      </c>
      <c r="G78" s="123" t="s">
        <v>1222</v>
      </c>
      <c r="H78" s="269" t="s">
        <v>1223</v>
      </c>
      <c r="I78" s="81" t="s">
        <v>1224</v>
      </c>
      <c r="J78" s="123" t="s">
        <v>1225</v>
      </c>
      <c r="K78" s="81" t="s">
        <v>1226</v>
      </c>
      <c r="L78" s="81" t="s">
        <v>1227</v>
      </c>
      <c r="M78" s="81" t="s">
        <v>1228</v>
      </c>
    </row>
    <row r="79" spans="1:13" ht="20.100000000000001" customHeight="1" x14ac:dyDescent="0.25">
      <c r="A79"/>
      <c r="D79" s="15"/>
      <c r="E79" s="15"/>
      <c r="F79" s="15"/>
      <c r="G79" s="270" cm="1">
        <f t="array" ref="G79">Scope3_Equations.VEERG_15_1_1_1__1_EmissionsFromPurchasedLivestock(E79,F79,$E$76)</f>
        <v>0</v>
      </c>
      <c r="H79" s="15"/>
      <c r="I79" s="75">
        <v>1.3</v>
      </c>
      <c r="J79" s="270" cm="1">
        <f t="array" ref="J79">Scope3_Equations.VEERG_15_1_1_1__1_EmissionsFromPurchasedLivestock(E79,H79,IF(I79, I79,$E$76))</f>
        <v>0</v>
      </c>
      <c r="K79" s="33"/>
      <c r="L79" s="13"/>
      <c r="M79" s="254"/>
    </row>
    <row r="80" spans="1:13" ht="20.100000000000001" customHeight="1" x14ac:dyDescent="0.25">
      <c r="A80"/>
      <c r="D80" s="15"/>
      <c r="E80" s="15"/>
      <c r="F80" s="15"/>
      <c r="G80" s="270" cm="1">
        <f t="array" ref="G80">Scope3_Equations.VEERG_15_1_1_1__1_EmissionsFromPurchasedLivestock(E80,F80,$E$76)</f>
        <v>0</v>
      </c>
      <c r="H80" s="15"/>
      <c r="I80" s="75"/>
      <c r="J80" s="270" cm="1">
        <f t="array" ref="J80">Scope3_Equations.VEERG_15_1_1_1__1_EmissionsFromPurchasedLivestock(E80,H80,IF(I80, I80,$E$76))</f>
        <v>0</v>
      </c>
      <c r="K80" s="33"/>
      <c r="L80" s="13"/>
      <c r="M80" s="33"/>
    </row>
    <row r="81" spans="1:13" ht="20.100000000000001" customHeight="1" x14ac:dyDescent="0.25">
      <c r="A81"/>
      <c r="D81" s="15"/>
      <c r="E81" s="15"/>
      <c r="F81" s="15"/>
      <c r="G81" s="270" cm="1">
        <f t="array" ref="G81">Scope3_Equations.VEERG_15_1_1_1__1_EmissionsFromPurchasedLivestock(E81,F81,$E$76)</f>
        <v>0</v>
      </c>
      <c r="H81" s="15"/>
      <c r="I81" s="75"/>
      <c r="J81" s="270" cm="1">
        <f t="array" ref="J81">Scope3_Equations.VEERG_15_1_1_1__1_EmissionsFromPurchasedLivestock(E81,H81,IF(I81, I81,$E$76))</f>
        <v>0</v>
      </c>
      <c r="K81" s="33"/>
      <c r="L81" s="13"/>
      <c r="M81" s="33"/>
    </row>
    <row r="82" spans="1:13" ht="20.100000000000001" customHeight="1" x14ac:dyDescent="0.25">
      <c r="A82"/>
      <c r="D82" s="15"/>
      <c r="E82" s="15"/>
      <c r="F82" s="15"/>
      <c r="G82" s="270" cm="1">
        <f t="array" ref="G82">Scope3_Equations.VEERG_15_1_1_1__1_EmissionsFromPurchasedLivestock(E82,F82,$E$76)</f>
        <v>0</v>
      </c>
      <c r="H82" s="15"/>
      <c r="I82" s="75"/>
      <c r="J82" s="270" cm="1">
        <f t="array" ref="J82">Scope3_Equations.VEERG_15_1_1_1__1_EmissionsFromPurchasedLivestock(E82,H82,IF(I82, I82,$E$76))</f>
        <v>0</v>
      </c>
      <c r="K82" s="33"/>
      <c r="L82" s="13"/>
      <c r="M82" s="33"/>
    </row>
    <row r="83" spans="1:13" ht="20.100000000000001" customHeight="1" x14ac:dyDescent="0.25">
      <c r="A83"/>
      <c r="D83" s="15"/>
      <c r="E83" s="15"/>
      <c r="F83" s="15"/>
      <c r="G83" s="270" cm="1">
        <f t="array" ref="G83">Scope3_Equations.VEERG_15_1_1_1__1_EmissionsFromPurchasedLivestock(E83,F83,$E$76)</f>
        <v>0</v>
      </c>
      <c r="H83" s="15"/>
      <c r="I83" s="75"/>
      <c r="J83" s="270" cm="1">
        <f t="array" ref="J83">Scope3_Equations.VEERG_15_1_1_1__1_EmissionsFromPurchasedLivestock(E83,H83,IF(I83, I83,$E$76))</f>
        <v>0</v>
      </c>
      <c r="K83" s="33"/>
      <c r="L83" s="13"/>
      <c r="M83" s="33"/>
    </row>
    <row r="84" spans="1:13" ht="20.100000000000001" customHeight="1" x14ac:dyDescent="0.25">
      <c r="A84"/>
      <c r="D84" s="15"/>
      <c r="E84" s="15"/>
      <c r="F84" s="15"/>
      <c r="G84" s="270" cm="1">
        <f t="array" ref="G84">Scope3_Equations.VEERG_15_1_1_1__1_EmissionsFromPurchasedLivestock(E84,F84,$E$76)</f>
        <v>0</v>
      </c>
      <c r="H84" s="15"/>
      <c r="I84" s="75"/>
      <c r="J84" s="270" cm="1">
        <f t="array" ref="J84">Scope3_Equations.VEERG_15_1_1_1__1_EmissionsFromPurchasedLivestock(E84,H84,IF(I84, I84,$E$76))</f>
        <v>0</v>
      </c>
      <c r="K84" s="33"/>
      <c r="L84" s="13"/>
      <c r="M84" s="33"/>
    </row>
    <row r="85" spans="1:13" ht="20.100000000000001" customHeight="1" x14ac:dyDescent="0.25">
      <c r="A85"/>
      <c r="D85" s="15"/>
      <c r="E85" s="15"/>
      <c r="F85" s="15"/>
      <c r="G85" s="270" cm="1">
        <f t="array" ref="G85">Scope3_Equations.VEERG_15_1_1_1__1_EmissionsFromPurchasedLivestock(E85,F85,$E$76)</f>
        <v>0</v>
      </c>
      <c r="H85" s="15"/>
      <c r="I85" s="75"/>
      <c r="J85" s="270" cm="1">
        <f t="array" ref="J85">Scope3_Equations.VEERG_15_1_1_1__1_EmissionsFromPurchasedLivestock(E85,H85,IF(I85, I85,$E$76))</f>
        <v>0</v>
      </c>
      <c r="K85" s="33"/>
      <c r="L85" s="13"/>
      <c r="M85" s="33"/>
    </row>
    <row r="86" spans="1:13" ht="20.100000000000001" customHeight="1" x14ac:dyDescent="0.25">
      <c r="A86"/>
      <c r="D86" s="15"/>
      <c r="E86" s="15"/>
      <c r="F86" s="15"/>
      <c r="G86" s="270" cm="1">
        <f t="array" ref="G86">Scope3_Equations.VEERG_15_1_1_1__1_EmissionsFromPurchasedLivestock(E86,F86,$E$76)</f>
        <v>0</v>
      </c>
      <c r="H86" s="15"/>
      <c r="I86" s="75"/>
      <c r="J86" s="270" cm="1">
        <f t="array" ref="J86">Scope3_Equations.VEERG_15_1_1_1__1_EmissionsFromPurchasedLivestock(E86,H86,IF(I86, I86,$E$76))</f>
        <v>0</v>
      </c>
      <c r="K86" s="33"/>
      <c r="L86" s="13"/>
      <c r="M86" s="33"/>
    </row>
    <row r="87" spans="1:13" ht="20.100000000000001" customHeight="1" x14ac:dyDescent="0.25">
      <c r="A87"/>
      <c r="D87" s="15"/>
      <c r="E87" s="15"/>
      <c r="F87" s="15"/>
      <c r="G87" s="270" cm="1">
        <f t="array" ref="G87">Scope3_Equations.VEERG_15_1_1_1__1_EmissionsFromPurchasedLivestock(E87,F87,$E$76)</f>
        <v>0</v>
      </c>
      <c r="H87" s="15"/>
      <c r="I87" s="75"/>
      <c r="J87" s="270" cm="1">
        <f t="array" ref="J87">Scope3_Equations.VEERG_15_1_1_1__1_EmissionsFromPurchasedLivestock(E87,H87,IF(I87, I87,$E$76))</f>
        <v>0</v>
      </c>
      <c r="K87" s="33"/>
      <c r="L87" s="13"/>
      <c r="M87" s="33"/>
    </row>
    <row r="88" spans="1:13" ht="20.100000000000001" customHeight="1" x14ac:dyDescent="0.25">
      <c r="A88"/>
      <c r="D88" s="15"/>
      <c r="E88" s="15"/>
      <c r="F88" s="15"/>
      <c r="G88" s="270" cm="1">
        <f t="array" ref="G88">Scope3_Equations.VEERG_15_1_1_1__1_EmissionsFromPurchasedLivestock(E88,F88,$E$76)</f>
        <v>0</v>
      </c>
      <c r="H88" s="15"/>
      <c r="I88" s="75"/>
      <c r="J88" s="270" cm="1">
        <f t="array" ref="J88">Scope3_Equations.VEERG_15_1_1_1__1_EmissionsFromPurchasedLivestock(E88,H88,IF(I88, I88,$E$76))</f>
        <v>0</v>
      </c>
      <c r="K88" s="33"/>
      <c r="L88" s="13"/>
      <c r="M88" s="33"/>
    </row>
    <row r="89" spans="1:13" ht="20.100000000000001" customHeight="1" x14ac:dyDescent="0.25">
      <c r="A89"/>
    </row>
    <row r="90" spans="1:13" ht="20.100000000000001" customHeight="1" x14ac:dyDescent="0.25">
      <c r="A90"/>
      <c r="D90" s="93" t="s">
        <v>1242</v>
      </c>
      <c r="E90" s="89">
        <f>SUM(G79:G88)</f>
        <v>0</v>
      </c>
      <c r="F90" s="94" t="str">
        <f>$E$11</f>
        <v>t CO2e</v>
      </c>
    </row>
    <row r="91" spans="1:13" ht="20.100000000000001" customHeight="1" x14ac:dyDescent="0.25">
      <c r="A91"/>
      <c r="D91" s="93" t="s">
        <v>1243</v>
      </c>
      <c r="E91" s="89">
        <f>SUM(J79:J88)</f>
        <v>0</v>
      </c>
      <c r="F91" s="94" t="str">
        <f>$E$11</f>
        <v>t CO2e</v>
      </c>
    </row>
    <row r="92" spans="1:13" ht="20.100000000000001" customHeight="1" x14ac:dyDescent="0.25">
      <c r="A92"/>
    </row>
    <row r="93" spans="1:13" ht="20.100000000000001" customHeight="1" x14ac:dyDescent="0.25">
      <c r="A93"/>
      <c r="D93" s="88" t="s">
        <v>1222</v>
      </c>
      <c r="E93" s="91">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295.47000000000003</v>
      </c>
      <c r="F93" s="90" t="str">
        <f>$E$11</f>
        <v>t CO2e</v>
      </c>
    </row>
    <row r="94" spans="1:13" ht="20.100000000000001" customHeight="1" x14ac:dyDescent="0.25">
      <c r="A94"/>
      <c r="D94" s="88" t="s">
        <v>1225</v>
      </c>
      <c r="E94" s="91">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415.625</v>
      </c>
      <c r="F94" s="90" t="str">
        <f>$E$11</f>
        <v>t CO2e</v>
      </c>
    </row>
    <row r="95" spans="1:13" ht="20.100000000000001" customHeight="1" x14ac:dyDescent="0.25">
      <c r="A95"/>
    </row>
    <row r="96" spans="1:13" ht="20.100000000000001" customHeight="1" x14ac:dyDescent="0.25">
      <c r="A96"/>
    </row>
    <row r="97" spans="1:41" ht="20.100000000000001" customHeight="1" x14ac:dyDescent="0.25">
      <c r="A97"/>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89"/>
      <c r="AH97" s="89"/>
      <c r="AI97" s="89"/>
      <c r="AJ97" s="89"/>
      <c r="AK97" s="89"/>
      <c r="AL97" s="89"/>
      <c r="AM97" s="89"/>
      <c r="AN97" s="89"/>
      <c r="AO97" s="89"/>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17" t="str" cm="1">
        <f t="array" ref="D99">Scope3_Equations.VEERG_15_2_1_1__1_EmissionsFromPurchasedFeed_Source()</f>
        <v>VEERG 2026: 15.2.1.1, Equation (1)</v>
      </c>
    </row>
    <row r="100" spans="1:41" ht="20.100000000000001" customHeight="1" x14ac:dyDescent="0.25">
      <c r="A100"/>
      <c r="D100" s="25" t="str" cm="1">
        <f t="array" ref="D100">Scope3_Equations.VEERG_15_2_1_1__1_EmissionsFromPurchasedFeed_Variation()</f>
        <v>VARIATION ON SOURCE: Input Q_j in kg instead of t to match EF units. Multiply by 10^-3 to convert kg CO2e to t CO2e.</v>
      </c>
    </row>
    <row r="101" spans="1:41" ht="20.100000000000001" customHeight="1" x14ac:dyDescent="0.25">
      <c r="A101"/>
      <c r="D101" s="117" t="s">
        <v>343</v>
      </c>
      <c r="E101" s="117" t="str" cm="1">
        <f t="array" aca="1" ref="E101" ca="1">Common_InputFunctions.Utility_DisplayFunctionName(G120)</f>
        <v>=Scope3_Equations.VEERG_15_2_1_1__1_EmissionsFromPurchasedFeedVariation</v>
      </c>
      <c r="H101" s="25"/>
    </row>
    <row r="102" spans="1:41" ht="20.100000000000001" customHeight="1" x14ac:dyDescent="0.25">
      <c r="A102"/>
    </row>
    <row r="103" spans="1:41" ht="20.100000000000001" customHeight="1" x14ac:dyDescent="0.25">
      <c r="A103"/>
      <c r="H103" s="117"/>
    </row>
    <row r="104" spans="1:41" ht="20.100000000000001" customHeight="1" x14ac:dyDescent="0.25">
      <c r="A104"/>
      <c r="D104" s="76" t="s">
        <v>344</v>
      </c>
      <c r="E104" s="1" t="str" cm="1">
        <f t="array" ref="E104">Scope3_Equations.VEERG_15_2_1_1__1_EmissionsFromPurchasedFeed_Variable()</f>
        <v>E</v>
      </c>
    </row>
    <row r="105" spans="1:41" ht="20.100000000000001" customHeight="1" x14ac:dyDescent="0.25">
      <c r="A105"/>
      <c r="D105" s="76" t="s">
        <v>118</v>
      </c>
      <c r="E105" s="9" t="str" cm="1">
        <f t="array" ref="E105">Scope3_Equations.VEERG_15_2_1_1__1_EmissionsFromPurchasedFeed_Unit()</f>
        <v>t CO2e</v>
      </c>
    </row>
    <row r="106" spans="1:41" ht="20.100000000000001" customHeight="1" x14ac:dyDescent="0.25">
      <c r="A106"/>
    </row>
    <row r="107" spans="1:41" ht="20.100000000000001" customHeight="1" x14ac:dyDescent="0.25">
      <c r="A107"/>
      <c r="D107" s="119" t="str" cm="1">
        <f t="array" ref="D107:E109">_xlfn.CHOOSECOLS(Scope3_Equations.VEERG_15_2_1_1__1_EmissionsFromPurchasedFeed_ArgumentsVariation(),1,2)</f>
        <v>Q_j</v>
      </c>
      <c r="E107" s="124" t="str">
        <v>quantity of feed type j purchased</v>
      </c>
      <c r="F107" s="125"/>
      <c r="G107" s="119" t="str" cm="1">
        <f t="array" ref="G107:H109">_xlfn.CHOOSECOLS(Scope3_Equations.VEERG_15_2_1_1__1_EmissionsFromPurchasedFeed_ArgumentsVariation(),3,4)</f>
        <v>kg</v>
      </c>
      <c r="H107" s="268" t="str">
        <v>Input</v>
      </c>
    </row>
    <row r="108" spans="1:41" ht="20.100000000000001" customHeight="1" x14ac:dyDescent="0.25">
      <c r="A108"/>
      <c r="D108" s="119" t="str">
        <v>EF_j</v>
      </c>
      <c r="E108" s="124" t="str">
        <v>emission factor of purchased feed</v>
      </c>
      <c r="F108" s="125"/>
      <c r="G108" s="119" t="str">
        <v>kg CO2e/kg</v>
      </c>
      <c r="H108" s="127" t="str">
        <v>Constant</v>
      </c>
    </row>
    <row r="109" spans="1:41" ht="20.100000000000001" customHeight="1" x14ac:dyDescent="0.25">
      <c r="A109"/>
      <c r="D109" s="119" t="str">
        <v>j</v>
      </c>
      <c r="E109" s="124" t="str">
        <v>feed type</v>
      </c>
      <c r="F109" s="125"/>
      <c r="G109" s="119" t="str">
        <v/>
      </c>
      <c r="H109" s="268" t="str">
        <v>Input</v>
      </c>
    </row>
    <row r="110" spans="1:41" ht="20.100000000000001" customHeight="1" x14ac:dyDescent="0.25">
      <c r="A110"/>
    </row>
    <row r="111" spans="1:41" ht="20.100000000000001" customHeight="1" x14ac:dyDescent="0.25">
      <c r="A111"/>
      <c r="D111" s="260" t="s">
        <v>1244</v>
      </c>
    </row>
    <row r="112" spans="1:41" ht="20.100000000000001" customHeight="1" x14ac:dyDescent="0.25">
      <c r="A112"/>
    </row>
    <row r="113" spans="1:28" ht="20.100000000000001" customHeight="1" x14ac:dyDescent="0.25">
      <c r="A113"/>
      <c r="D113" s="139" t="s">
        <v>1245</v>
      </c>
      <c r="E113" s="44"/>
      <c r="F113" s="139"/>
      <c r="G113" s="43"/>
      <c r="H113" s="44"/>
    </row>
    <row r="114" spans="1:28" ht="20.100000000000001" customHeight="1" x14ac:dyDescent="0.25">
      <c r="A114"/>
      <c r="D114" s="169" t="s">
        <v>1246</v>
      </c>
      <c r="E114" s="171"/>
      <c r="F114" s="169"/>
      <c r="G114" s="170"/>
      <c r="H114" s="171"/>
    </row>
    <row r="115" spans="1:28" ht="20.100000000000001" customHeight="1" x14ac:dyDescent="0.25">
      <c r="A115"/>
      <c r="D115" s="45" t="s">
        <v>1247</v>
      </c>
      <c r="E115" s="47"/>
      <c r="F115" s="45"/>
      <c r="G115" s="46"/>
      <c r="H115" s="47"/>
    </row>
    <row r="116" spans="1:28" ht="20.100000000000001" customHeight="1" x14ac:dyDescent="0.25">
      <c r="A116"/>
    </row>
    <row r="117" spans="1:28" ht="20.100000000000001" customHeight="1" x14ac:dyDescent="0.25">
      <c r="A117"/>
      <c r="D117" s="35" t="s">
        <v>1248</v>
      </c>
      <c r="E117" s="37"/>
      <c r="F117" s="38"/>
    </row>
    <row r="118" spans="1:28" ht="20.100000000000001" customHeight="1" x14ac:dyDescent="0.25">
      <c r="A118"/>
    </row>
    <row r="119" spans="1:28" ht="20.100000000000001" customHeight="1" x14ac:dyDescent="0.25">
      <c r="A119"/>
      <c r="D119" s="81" t="s">
        <v>1249</v>
      </c>
      <c r="E119" s="81" t="s">
        <v>1250</v>
      </c>
      <c r="F119" s="123" t="s">
        <v>1251</v>
      </c>
      <c r="G119" s="123" t="s">
        <v>1222</v>
      </c>
      <c r="H119" s="81" t="s">
        <v>1252</v>
      </c>
      <c r="I119" s="123" t="s">
        <v>1225</v>
      </c>
      <c r="J119" s="81" t="s">
        <v>1226</v>
      </c>
      <c r="K119" s="81" t="s">
        <v>1227</v>
      </c>
      <c r="L119" s="81" t="s">
        <v>1228</v>
      </c>
      <c r="M119" s="123" t="s">
        <v>641</v>
      </c>
      <c r="N119" s="123" t="s">
        <v>1253</v>
      </c>
      <c r="O119" s="123" t="s">
        <v>642</v>
      </c>
      <c r="P119" s="123" t="s">
        <v>1254</v>
      </c>
      <c r="Q119" s="123" t="s">
        <v>643</v>
      </c>
      <c r="R119" s="123" t="s">
        <v>1255</v>
      </c>
      <c r="S119" s="123" t="s">
        <v>644</v>
      </c>
      <c r="T119" s="123" t="s">
        <v>1256</v>
      </c>
      <c r="U119" s="123" t="s">
        <v>645</v>
      </c>
      <c r="V119" s="123" t="s">
        <v>1257</v>
      </c>
      <c r="W119" s="123" t="s">
        <v>646</v>
      </c>
      <c r="X119" s="123" t="s">
        <v>1258</v>
      </c>
      <c r="Y119" s="123" t="s">
        <v>647</v>
      </c>
      <c r="Z119" s="123" t="s">
        <v>1259</v>
      </c>
      <c r="AA119" s="123" t="s">
        <v>648</v>
      </c>
      <c r="AB119" s="123" t="s">
        <v>1260</v>
      </c>
    </row>
    <row r="120" spans="1:28" ht="20.100000000000001" customHeight="1" x14ac:dyDescent="0.25">
      <c r="A120"/>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70" cm="1">
        <f t="array" ref="G120">Scope3_Equations.VEERG_15_2_1_1__1_EmissionsFromPurchasedFeedVariation(E120,F120)</f>
        <v>0.19527599999999998</v>
      </c>
      <c r="H120" s="75">
        <v>0.04</v>
      </c>
      <c r="I120" s="270" cm="1">
        <f t="array" ref="I120">Scope3_Equations.VEERG_15_2_1_1__1_EmissionsFromPurchasedFeedVariation(E120,IF(H120,H120, F120))</f>
        <v>4.8000000000000001E-2</v>
      </c>
      <c r="J120" s="33"/>
      <c r="K120" s="13"/>
      <c r="L120" s="254"/>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5">
      <c r="A121"/>
      <c r="D121" s="15">
        <v>0</v>
      </c>
      <c r="E121" s="15">
        <v>3456</v>
      </c>
      <c r="F121" s="15">
        <f t="shared" si="0"/>
        <v>4.6000000000000006E-2</v>
      </c>
      <c r="G121" s="270" cm="1">
        <f t="array" ref="G121">Scope3_Equations.VEERG_15_2_1_1__1_EmissionsFromPurchasedFeedVariation(E121,F121)</f>
        <v>0.15897600000000003</v>
      </c>
      <c r="H121" s="75">
        <v>0.03</v>
      </c>
      <c r="I121" s="270"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5">
      <c r="A122"/>
      <c r="D122" s="15" t="str">
        <v>Hay bales in paddock</v>
      </c>
      <c r="E122" s="15">
        <v>300</v>
      </c>
      <c r="F122" s="15">
        <f t="shared" si="0"/>
        <v>0.27800000000000002</v>
      </c>
      <c r="G122" s="270" cm="1">
        <f t="array" ref="G122">Scope3_Equations.VEERG_15_2_1_1__1_EmissionsFromPurchasedFeedVariation(E122,F122)</f>
        <v>8.3400000000000002E-2</v>
      </c>
      <c r="H122" s="75">
        <v>0.14000000000000001</v>
      </c>
      <c r="I122" s="270"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5">
      <c r="A123"/>
      <c r="D123" s="15">
        <v>0</v>
      </c>
      <c r="E123" s="15">
        <v>500</v>
      </c>
      <c r="F123" s="15">
        <f t="shared" si="0"/>
        <v>0.34499999999999997</v>
      </c>
      <c r="G123" s="270" cm="1">
        <f t="array" ref="G123">Scope3_Equations.VEERG_15_2_1_1__1_EmissionsFromPurchasedFeedVariation(E123,F123)</f>
        <v>0.17250000000000001</v>
      </c>
      <c r="H123" s="75"/>
      <c r="I123" s="270"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5">
      <c r="A124"/>
      <c r="D124" s="15">
        <v>0</v>
      </c>
      <c r="E124" s="15">
        <v>0</v>
      </c>
      <c r="F124" s="15">
        <f t="shared" si="0"/>
        <v>0</v>
      </c>
      <c r="G124" s="270" cm="1">
        <f t="array" ref="G124">Scope3_Equations.VEERG_15_2_1_1__1_EmissionsFromPurchasedFeedVariation(E124,F124)</f>
        <v>0</v>
      </c>
      <c r="H124" s="75"/>
      <c r="I124" s="270"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5">
      <c r="A125"/>
      <c r="D125" s="15">
        <v>0</v>
      </c>
      <c r="E125" s="15">
        <v>0</v>
      </c>
      <c r="F125" s="15">
        <f t="shared" si="0"/>
        <v>0</v>
      </c>
      <c r="G125" s="270" cm="1">
        <f t="array" ref="G125">Scope3_Equations.VEERG_15_2_1_1__1_EmissionsFromPurchasedFeedVariation(E125,F125)</f>
        <v>0</v>
      </c>
      <c r="H125" s="75"/>
      <c r="I125" s="270"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5">
      <c r="A126"/>
      <c r="D126" s="15">
        <v>0</v>
      </c>
      <c r="E126" s="15">
        <v>0</v>
      </c>
      <c r="F126" s="15">
        <f t="shared" si="0"/>
        <v>0</v>
      </c>
      <c r="G126" s="270" cm="1">
        <f t="array" ref="G126">Scope3_Equations.VEERG_15_2_1_1__1_EmissionsFromPurchasedFeedVariation(E126,F126)</f>
        <v>0</v>
      </c>
      <c r="H126" s="75"/>
      <c r="I126" s="270"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5">
      <c r="A127"/>
      <c r="D127" s="15">
        <v>0</v>
      </c>
      <c r="E127" s="15">
        <v>0</v>
      </c>
      <c r="F127" s="15">
        <f t="shared" si="0"/>
        <v>0</v>
      </c>
      <c r="G127" s="270" cm="1">
        <f t="array" ref="G127">Scope3_Equations.VEERG_15_2_1_1__1_EmissionsFromPurchasedFeedVariation(E127,F127)</f>
        <v>0</v>
      </c>
      <c r="H127" s="75"/>
      <c r="I127" s="270"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5">
      <c r="A128"/>
      <c r="D128" s="15">
        <v>0</v>
      </c>
      <c r="E128" s="15">
        <v>0</v>
      </c>
      <c r="F128" s="15">
        <f t="shared" si="0"/>
        <v>0</v>
      </c>
      <c r="G128" s="270" cm="1">
        <f t="array" ref="G128">Scope3_Equations.VEERG_15_2_1_1__1_EmissionsFromPurchasedFeedVariation(E128,F128)</f>
        <v>0</v>
      </c>
      <c r="H128" s="75"/>
      <c r="I128" s="270"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5">
      <c r="A129"/>
      <c r="D129" s="15">
        <v>0</v>
      </c>
      <c r="E129" s="15">
        <v>0</v>
      </c>
      <c r="F129" s="15">
        <f t="shared" si="0"/>
        <v>0</v>
      </c>
      <c r="G129" s="270" cm="1">
        <f t="array" ref="G129">Scope3_Equations.VEERG_15_2_1_1__1_EmissionsFromPurchasedFeedVariation(E129,F129)</f>
        <v>0</v>
      </c>
      <c r="H129" s="75"/>
      <c r="I129" s="270"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0" spans="1:28" ht="20.100000000000001" customHeight="1" x14ac:dyDescent="0.25">
      <c r="A130"/>
    </row>
    <row r="131" spans="1:28" ht="20.100000000000001" customHeight="1" x14ac:dyDescent="0.25">
      <c r="A131"/>
      <c r="D131" s="93" t="s">
        <v>1222</v>
      </c>
      <c r="E131" s="89">
        <f>SUM(G120:G129)</f>
        <v>0.61015200000000003</v>
      </c>
      <c r="F131" s="94" t="str">
        <f>$E$105</f>
        <v>t CO2e</v>
      </c>
    </row>
    <row r="132" spans="1:28" ht="20.100000000000001" customHeight="1" x14ac:dyDescent="0.25">
      <c r="A132"/>
      <c r="D132" s="93" t="s">
        <v>1225</v>
      </c>
      <c r="E132" s="89">
        <f>SUM(I120:I129)</f>
        <v>0.36618000000000001</v>
      </c>
      <c r="F132" s="94" t="str">
        <f>$E$105</f>
        <v>t CO2e</v>
      </c>
    </row>
    <row r="133" spans="1:28" ht="20.100000000000001" customHeight="1" x14ac:dyDescent="0.25">
      <c r="A133"/>
    </row>
    <row r="134" spans="1:28" ht="20.100000000000001" customHeight="1" x14ac:dyDescent="0.25">
      <c r="A134"/>
    </row>
    <row r="135" spans="1:28" ht="20.100000000000001" customHeight="1" x14ac:dyDescent="0.25">
      <c r="A135"/>
      <c r="D135" s="260" t="s">
        <v>1157</v>
      </c>
    </row>
    <row r="136" spans="1:28" ht="20.100000000000001" customHeight="1" x14ac:dyDescent="0.25">
      <c r="A136"/>
      <c r="D136" s="81" t="s">
        <v>131</v>
      </c>
      <c r="E136" s="81" t="s">
        <v>1250</v>
      </c>
      <c r="F136" s="123" t="s">
        <v>1251</v>
      </c>
      <c r="G136" s="123" t="s">
        <v>1222</v>
      </c>
      <c r="H136" s="81" t="s">
        <v>1252</v>
      </c>
      <c r="I136" s="123" t="s">
        <v>1225</v>
      </c>
      <c r="J136" s="81" t="s">
        <v>1226</v>
      </c>
      <c r="K136" s="81" t="s">
        <v>1227</v>
      </c>
      <c r="L136" s="81" t="s">
        <v>1228</v>
      </c>
    </row>
    <row r="137" spans="1:28" ht="20.100000000000001" customHeight="1" x14ac:dyDescent="0.25">
      <c r="A137"/>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70" cm="1">
        <f t="array" ref="G137">Scope3_Equations.VEERG_15_2_1_1__1_EmissionsFromPurchasedFeedVariation(E137,F137)</f>
        <v>5.9400000000000001E-2</v>
      </c>
      <c r="H137" s="75">
        <v>0.5</v>
      </c>
      <c r="I137" s="270" cm="1">
        <f t="array" ref="I137">Scope3_Equations.VEERG_15_2_1_1__1_EmissionsFromPurchasedFeedVariation(E137,IF(H137,H137, F137))</f>
        <v>0.05</v>
      </c>
      <c r="J137" s="33"/>
      <c r="K137" s="13"/>
      <c r="L137" s="33"/>
    </row>
    <row r="138" spans="1:28" ht="20.100000000000001" customHeight="1" x14ac:dyDescent="0.25">
      <c r="A138"/>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70" cm="1">
        <f t="array" ref="G138">Scope3_Equations.VEERG_15_2_1_1__1_EmissionsFromPurchasedFeedVariation(E138,F138)</f>
        <v>4.19E-2</v>
      </c>
      <c r="H138" s="75">
        <v>0.4</v>
      </c>
      <c r="I138" s="270" cm="1">
        <f t="array" ref="I138">Scope3_Equations.VEERG_15_2_1_1__1_EmissionsFromPurchasedFeedVariation(E138,IF(H138,H138, F138))</f>
        <v>0.04</v>
      </c>
      <c r="J138" s="33"/>
      <c r="K138" s="13"/>
      <c r="L138" s="33"/>
    </row>
    <row r="139" spans="1:28" ht="20.100000000000001" customHeight="1" x14ac:dyDescent="0.25">
      <c r="A139"/>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70" cm="1">
        <f t="array" ref="G139">Scope3_Equations.VEERG_15_2_1_1__1_EmissionsFromPurchasedFeedVariation(E139,F139)</f>
        <v>3.3300000000000003E-2</v>
      </c>
      <c r="H139" s="75">
        <v>0</v>
      </c>
      <c r="I139" s="270" cm="1">
        <f t="array" ref="I139">Scope3_Equations.VEERG_15_2_1_1__1_EmissionsFromPurchasedFeedVariation(E139,IF(H139,H139, F139))</f>
        <v>3.3300000000000003E-2</v>
      </c>
      <c r="J139" s="33"/>
      <c r="K139" s="13"/>
      <c r="L139" s="33"/>
    </row>
    <row r="140" spans="1:28" ht="20.100000000000001" customHeight="1" x14ac:dyDescent="0.25">
      <c r="A140"/>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70" cm="1">
        <f t="array" ref="G140">Scope3_Equations.VEERG_15_2_1_1__1_EmissionsFromPurchasedFeedVariation(E140,F140)</f>
        <v>4.0300000000000002E-2</v>
      </c>
      <c r="H140" s="75">
        <v>0</v>
      </c>
      <c r="I140" s="270" cm="1">
        <f t="array" ref="I140">Scope3_Equations.VEERG_15_2_1_1__1_EmissionsFromPurchasedFeedVariation(E140,IF(H140,H140, F140))</f>
        <v>4.0300000000000002E-2</v>
      </c>
      <c r="J140" s="33"/>
      <c r="K140" s="13"/>
      <c r="L140" s="33"/>
    </row>
    <row r="141" spans="1:28" ht="20.100000000000001" customHeight="1" x14ac:dyDescent="0.25">
      <c r="A141"/>
    </row>
    <row r="142" spans="1:28" ht="20.100000000000001" customHeight="1" x14ac:dyDescent="0.25">
      <c r="A142"/>
      <c r="D142" s="93" t="s">
        <v>1222</v>
      </c>
      <c r="E142" s="89">
        <f>SUM(G137:G140)</f>
        <v>0.1749</v>
      </c>
      <c r="F142" s="94" t="str">
        <f>$E$105</f>
        <v>t CO2e</v>
      </c>
    </row>
    <row r="143" spans="1:28" ht="20.100000000000001" customHeight="1" x14ac:dyDescent="0.25">
      <c r="A143"/>
      <c r="D143" s="93" t="s">
        <v>1225</v>
      </c>
      <c r="E143" s="89">
        <f>SUM(I137:I140)</f>
        <v>0.1636</v>
      </c>
      <c r="F143" s="94" t="str">
        <f>$E$105</f>
        <v>t CO2e</v>
      </c>
    </row>
    <row r="144" spans="1:28" ht="20.100000000000001" customHeight="1" x14ac:dyDescent="0.25">
      <c r="A144"/>
    </row>
    <row r="145" spans="1:12" ht="20.100000000000001" customHeight="1" x14ac:dyDescent="0.25">
      <c r="A145"/>
    </row>
    <row r="146" spans="1:12" ht="20.100000000000001" customHeight="1" x14ac:dyDescent="0.25">
      <c r="A146"/>
      <c r="D146" s="260" t="s">
        <v>1261</v>
      </c>
    </row>
    <row r="147" spans="1:12" ht="20.100000000000001" customHeight="1" x14ac:dyDescent="0.25">
      <c r="A147"/>
      <c r="D147" s="81" t="s">
        <v>131</v>
      </c>
      <c r="E147" s="81" t="s">
        <v>1250</v>
      </c>
      <c r="F147" s="123" t="s">
        <v>1251</v>
      </c>
      <c r="G147" s="123" t="s">
        <v>1222</v>
      </c>
      <c r="H147" s="81" t="s">
        <v>1252</v>
      </c>
      <c r="I147" s="123" t="s">
        <v>1225</v>
      </c>
      <c r="J147" s="81" t="s">
        <v>1226</v>
      </c>
      <c r="K147" s="81" t="s">
        <v>1227</v>
      </c>
      <c r="L147" s="81" t="s">
        <v>1228</v>
      </c>
    </row>
    <row r="148" spans="1:12" ht="20.100000000000001" customHeight="1" x14ac:dyDescent="0.25">
      <c r="A148"/>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70" cm="1">
        <f t="array" ref="G148">Scope3_Equations.VEERG_15_2_1_1__1_EmissionsFromPurchasedFeedVariation(E148,F148)</f>
        <v>0</v>
      </c>
      <c r="H148" s="75">
        <v>0.2</v>
      </c>
      <c r="I148" s="270" cm="1">
        <f t="array" ref="I148">Scope3_Equations.VEERG_15_2_1_1__1_EmissionsFromPurchasedFeedVariation(E148,IF(H148,H148, F148))</f>
        <v>0</v>
      </c>
      <c r="J148" s="33"/>
      <c r="K148" s="33"/>
      <c r="L148" s="33"/>
    </row>
    <row r="149" spans="1:12" ht="20.100000000000001" customHeight="1" x14ac:dyDescent="0.25">
      <c r="A149"/>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70" cm="1">
        <f t="array" ref="G149">Scope3_Equations.VEERG_15_2_1_1__1_EmissionsFromPurchasedFeedVariation(E149,F149)</f>
        <v>0</v>
      </c>
      <c r="H149" s="75">
        <v>0</v>
      </c>
      <c r="I149" s="270" cm="1">
        <f t="array" ref="I149">Scope3_Equations.VEERG_15_2_1_1__1_EmissionsFromPurchasedFeedVariation(E149,IF(H149,H149, F149))</f>
        <v>0</v>
      </c>
      <c r="J149" s="33"/>
      <c r="K149" s="33"/>
      <c r="L149" s="33"/>
    </row>
    <row r="150" spans="1:12" ht="20.100000000000001" customHeight="1" x14ac:dyDescent="0.25">
      <c r="A150"/>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70" cm="1">
        <f t="array" ref="G150">Scope3_Equations.VEERG_15_2_1_1__1_EmissionsFromPurchasedFeedVariation(E150,F150)</f>
        <v>0</v>
      </c>
      <c r="H150" s="75">
        <v>0</v>
      </c>
      <c r="I150" s="270" cm="1">
        <f t="array" ref="I150">Scope3_Equations.VEERG_15_2_1_1__1_EmissionsFromPurchasedFeedVariation(E150,IF(H150,H150, F150))</f>
        <v>0</v>
      </c>
      <c r="J150" s="33"/>
      <c r="K150" s="33"/>
      <c r="L150" s="33"/>
    </row>
    <row r="151" spans="1:12" ht="20.100000000000001" customHeight="1" x14ac:dyDescent="0.25">
      <c r="A151"/>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70" cm="1">
        <f t="array" ref="G151">Scope3_Equations.VEERG_15_2_1_1__1_EmissionsFromPurchasedFeedVariation(E151,F151)</f>
        <v>0</v>
      </c>
      <c r="H151" s="75">
        <v>0</v>
      </c>
      <c r="I151" s="270" cm="1">
        <f t="array" ref="I151">Scope3_Equations.VEERG_15_2_1_1__1_EmissionsFromPurchasedFeedVariation(E151,IF(H151,H151, F151))</f>
        <v>0</v>
      </c>
      <c r="J151" s="33"/>
      <c r="K151" s="33"/>
      <c r="L151" s="33"/>
    </row>
    <row r="152" spans="1:12" ht="20.100000000000001" customHeight="1" x14ac:dyDescent="0.25">
      <c r="A15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70" cm="1">
        <f t="array" ref="G152">Scope3_Equations.VEERG_15_2_1_1__1_EmissionsFromPurchasedFeedVariation(E152,F152)</f>
        <v>0</v>
      </c>
      <c r="H152" s="75">
        <v>0</v>
      </c>
      <c r="I152" s="270" cm="1">
        <f t="array" ref="I152">Scope3_Equations.VEERG_15_2_1_1__1_EmissionsFromPurchasedFeedVariation(E152,IF(H152,H152, F152))</f>
        <v>0</v>
      </c>
      <c r="J152" s="33"/>
      <c r="K152" s="33"/>
      <c r="L152" s="33"/>
    </row>
    <row r="153" spans="1:12" ht="20.100000000000001" customHeight="1" x14ac:dyDescent="0.25">
      <c r="A153"/>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70" cm="1">
        <f t="array" ref="G153">Scope3_Equations.VEERG_15_2_1_1__1_EmissionsFromPurchasedFeedVariation(E153,F153)</f>
        <v>0</v>
      </c>
      <c r="H153" s="75">
        <v>0</v>
      </c>
      <c r="I153" s="270" cm="1">
        <f t="array" ref="I153">Scope3_Equations.VEERG_15_2_1_1__1_EmissionsFromPurchasedFeedVariation(E153,IF(H153,H153, F153))</f>
        <v>0</v>
      </c>
      <c r="J153" s="33"/>
      <c r="K153" s="33"/>
      <c r="L153" s="33"/>
    </row>
    <row r="154" spans="1:12" ht="20.100000000000001" customHeight="1" x14ac:dyDescent="0.25">
      <c r="A154"/>
    </row>
    <row r="155" spans="1:12" ht="20.100000000000001" customHeight="1" x14ac:dyDescent="0.25">
      <c r="A155"/>
      <c r="D155" s="93" t="s">
        <v>1222</v>
      </c>
      <c r="E155" s="89">
        <f>SUM(G148:G153)</f>
        <v>0</v>
      </c>
      <c r="F155" s="94" t="str">
        <f>$E$105</f>
        <v>t CO2e</v>
      </c>
    </row>
    <row r="156" spans="1:12" ht="20.100000000000001" customHeight="1" x14ac:dyDescent="0.25">
      <c r="A156"/>
      <c r="D156" s="93" t="s">
        <v>1225</v>
      </c>
      <c r="E156" s="89">
        <f>SUM(I148:I153)</f>
        <v>0</v>
      </c>
      <c r="F156" s="94" t="str">
        <f>$E$105</f>
        <v>t CO2e</v>
      </c>
    </row>
    <row r="157" spans="1:12" ht="20.100000000000001" customHeight="1" x14ac:dyDescent="0.25">
      <c r="A157"/>
    </row>
    <row r="158" spans="1:12" ht="20.100000000000001" customHeight="1" x14ac:dyDescent="0.25">
      <c r="A158"/>
    </row>
    <row r="159" spans="1:12" ht="20.100000000000001" customHeight="1" x14ac:dyDescent="0.25">
      <c r="A159"/>
      <c r="D159" s="88" t="s">
        <v>1222</v>
      </c>
      <c r="E159" s="91">
        <f>E131+E142+E155</f>
        <v>0.78505200000000008</v>
      </c>
      <c r="F159" s="90" t="str">
        <f>$E$105</f>
        <v>t CO2e</v>
      </c>
    </row>
    <row r="160" spans="1:12" ht="20.100000000000001" customHeight="1" x14ac:dyDescent="0.25">
      <c r="A160"/>
      <c r="D160" s="88" t="s">
        <v>1225</v>
      </c>
      <c r="E160" s="91">
        <f>E132+E143+E156</f>
        <v>0.52978000000000003</v>
      </c>
      <c r="F160" s="90" t="str">
        <f>$E$105</f>
        <v>t CO2e</v>
      </c>
    </row>
    <row r="161" spans="3:41" ht="20.100000000000001" customHeight="1" x14ac:dyDescent="0.25"/>
    <row r="162" spans="3:41" ht="20.100000000000001" customHeight="1" x14ac:dyDescent="0.25"/>
    <row r="163" spans="3:41" ht="20.100000000000001" customHeight="1" x14ac:dyDescent="0.25">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c r="AB163" s="89"/>
      <c r="AC163" s="89"/>
      <c r="AD163" s="89"/>
      <c r="AE163" s="89"/>
      <c r="AF163" s="89"/>
      <c r="AG163" s="89"/>
      <c r="AH163" s="89"/>
      <c r="AI163" s="89"/>
      <c r="AJ163" s="89"/>
      <c r="AK163" s="89"/>
      <c r="AL163" s="89"/>
      <c r="AM163" s="89"/>
      <c r="AN163" s="89"/>
      <c r="AO163" s="89"/>
    </row>
    <row r="164" spans="3:41" ht="20.100000000000001" customHeight="1" x14ac:dyDescent="0.25">
      <c r="D164" s="2" t="str" cm="1">
        <f t="array" ref="D164">Scope3_Equations.VEERG_15_3_1_1__1_EmissionsFromPurchasedMineralSupplements_Title()</f>
        <v>Total emissions from purchased mineral supplements</v>
      </c>
    </row>
    <row r="165" spans="3:41" ht="20.100000000000001" customHeight="1" x14ac:dyDescent="0.25">
      <c r="D165" s="17" t="str" cm="1">
        <f t="array" ref="D165">Scope3_Equations.VEERG_15_3_1_1__1_EmissionsFromPurchasedMineralSupplements_Source()</f>
        <v>VEERG 2026: 15.3.1.1, Equation (1)</v>
      </c>
    </row>
    <row r="166" spans="3:41" ht="20.100000000000001" customHeight="1" x14ac:dyDescent="0.25">
      <c r="D166" s="117" t="s">
        <v>343</v>
      </c>
      <c r="E166" s="117" t="str" cm="1">
        <f t="array" aca="1" ref="E166" ca="1">Common_InputFunctions.Utility_DisplayFunctionName(G177)</f>
        <v>=Scope3_Equations.VEERG_15_3_1_1__1_EmissionsFromPurchasedMineralSupplementsVariation</v>
      </c>
    </row>
    <row r="167" spans="3:41" ht="20.100000000000001" customHeight="1" x14ac:dyDescent="0.25"/>
    <row r="168" spans="3:41" ht="20.100000000000001" customHeight="1" x14ac:dyDescent="0.25">
      <c r="F168" s="25" t="str" cm="1">
        <f t="array" ref="F168">Scope3_Equations.VEERG_15_3_1_1__1_EmissionsFromPurchasedMineralSupplements_Variation()</f>
        <v>VARIATION ON SOURCE: Input Q_j in kg instead of t to match EF units. Multiply by 10^-3 to convert kg CO2e to t CO2e.</v>
      </c>
      <c r="H168" s="117"/>
    </row>
    <row r="169" spans="3:41" ht="20.100000000000001" customHeight="1" x14ac:dyDescent="0.25">
      <c r="D169" s="76" t="s">
        <v>344</v>
      </c>
      <c r="E169" s="1" t="str" cm="1">
        <f t="array" ref="E169">Scope3_Equations.VEERG_15_3_1_1__1_EmissionsFromPurchasedMineralSupplements_Variable()</f>
        <v>E</v>
      </c>
    </row>
    <row r="170" spans="3:41" ht="20.100000000000001" customHeight="1" x14ac:dyDescent="0.25">
      <c r="D170" s="76" t="s">
        <v>118</v>
      </c>
      <c r="E170" s="9" t="str" cm="1">
        <f t="array" ref="E170">Scope3_Equations.VEERG_15_3_1_1__1_EmissionsFromPurchasedMineralSupplements_Unit()</f>
        <v>t CO2e</v>
      </c>
    </row>
    <row r="171" spans="3:41" ht="20.100000000000001" customHeight="1" x14ac:dyDescent="0.25"/>
    <row r="172" spans="3:41" ht="20.100000000000001" customHeight="1" x14ac:dyDescent="0.25">
      <c r="D172" s="119" t="str" cm="1">
        <f t="array" ref="D172:E174">_xlfn.CHOOSECOLS(Scope3_Equations.VEERG_15_3_1_1__1_EmissionsFromPurchasedMineralSupplements_ArgumentsVariation(),1,2)</f>
        <v>Q_m</v>
      </c>
      <c r="E172" s="124" t="str">
        <v>total quantity of mineral supplement type m used</v>
      </c>
      <c r="F172" s="125"/>
      <c r="G172" s="119" t="str" cm="1">
        <f t="array" ref="G172:H174">_xlfn.CHOOSECOLS(Scope3_Equations.VEERG_15_3_1_1__1_EmissionsFromPurchasedMineralSupplements_ArgumentsVariation(),3,4)</f>
        <v>kg</v>
      </c>
      <c r="H172" s="268" t="str">
        <v>Input</v>
      </c>
    </row>
    <row r="173" spans="3:41" ht="20.100000000000001" customHeight="1" x14ac:dyDescent="0.25">
      <c r="D173" s="119" t="str">
        <v>EF_m</v>
      </c>
      <c r="E173" s="124" t="str">
        <v>emission factor of purchased mineral supplement</v>
      </c>
      <c r="F173" s="125"/>
      <c r="G173" s="119" t="str">
        <v>kg CO2e/kg</v>
      </c>
      <c r="H173" s="268" t="str">
        <v>Constant</v>
      </c>
    </row>
    <row r="174" spans="3:41" ht="20.100000000000001" customHeight="1" x14ac:dyDescent="0.25">
      <c r="D174" s="119" t="str">
        <v>m</v>
      </c>
      <c r="E174" s="124" t="str">
        <v>mineral supplement type</v>
      </c>
      <c r="F174" s="125"/>
      <c r="G174" s="119" t="str">
        <v/>
      </c>
      <c r="H174" s="127" t="str">
        <v>Input</v>
      </c>
    </row>
    <row r="175" spans="3:41" ht="20.100000000000001" customHeight="1" x14ac:dyDescent="0.25"/>
    <row r="176" spans="3:41" ht="20.100000000000001" customHeight="1" x14ac:dyDescent="0.25">
      <c r="D176" s="81" t="s">
        <v>131</v>
      </c>
      <c r="E176" s="81" t="s">
        <v>1262</v>
      </c>
      <c r="F176" s="123" t="s">
        <v>1263</v>
      </c>
      <c r="G176" s="123" t="s">
        <v>1222</v>
      </c>
      <c r="H176" s="81" t="s">
        <v>1264</v>
      </c>
      <c r="I176" s="123" t="s">
        <v>1225</v>
      </c>
      <c r="J176" s="81" t="s">
        <v>1226</v>
      </c>
      <c r="K176" s="81" t="s">
        <v>1227</v>
      </c>
      <c r="L176" s="81" t="s">
        <v>1228</v>
      </c>
    </row>
    <row r="177" spans="3:41" ht="20.100000000000001" customHeight="1" x14ac:dyDescent="0.25">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70" cm="1">
        <f t="array" ref="G177">Scope3_Equations.VEERG_15_3_1_1__1_EmissionsFromPurchasedMineralSupplementsVariation(E177,F177)</f>
        <v>8.8099999999999998E-2</v>
      </c>
      <c r="H177" s="75">
        <v>0.8</v>
      </c>
      <c r="I177" s="270" cm="1">
        <f t="array" ref="I177">Scope3_Equations.VEERG_15_3_1_1__1_EmissionsFromPurchasedMineralSupplementsVariation(E177,IF(H177, H177, F177))</f>
        <v>0.08</v>
      </c>
      <c r="J177" s="33"/>
      <c r="K177" s="13"/>
      <c r="L177" s="33"/>
    </row>
    <row r="178" spans="3:41" ht="20.100000000000001" customHeight="1" x14ac:dyDescent="0.25">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70" cm="1">
        <f t="array" ref="G178">Scope3_Equations.VEERG_15_3_1_1__1_EmissionsFromPurchasedMineralSupplementsVariation(E178,F178)</f>
        <v>6.770000000000001E-2</v>
      </c>
      <c r="H178" s="75">
        <v>0.6</v>
      </c>
      <c r="I178" s="270" cm="1">
        <f t="array" ref="I178">Scope3_Equations.VEERG_15_3_1_1__1_EmissionsFromPurchasedMineralSupplementsVariation(E178,IF(H178, H178, F178))</f>
        <v>0.06</v>
      </c>
      <c r="J178" s="33"/>
      <c r="K178" s="13"/>
      <c r="L178" s="33"/>
    </row>
    <row r="179" spans="3:41" ht="20.100000000000001" customHeight="1" x14ac:dyDescent="0.25">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70" cm="1">
        <f t="array" ref="G179">Scope3_Equations.VEERG_15_3_1_1__1_EmissionsFromPurchasedMineralSupplementsVariation(E179,F179)</f>
        <v>2.3100000000000002E-2</v>
      </c>
      <c r="H179" s="75">
        <v>0.2</v>
      </c>
      <c r="I179" s="270" cm="1">
        <f t="array" ref="I179">Scope3_Equations.VEERG_15_3_1_1__1_EmissionsFromPurchasedMineralSupplementsVariation(E179,IF(H179, H179, F179))</f>
        <v>0.02</v>
      </c>
      <c r="J179" s="33"/>
      <c r="K179" s="13"/>
      <c r="L179" s="33"/>
    </row>
    <row r="180" spans="3:41" ht="20.100000000000001" customHeight="1" x14ac:dyDescent="0.25"/>
    <row r="181" spans="3:41" ht="20.100000000000001" customHeight="1" x14ac:dyDescent="0.25">
      <c r="D181" s="88" t="s">
        <v>1222</v>
      </c>
      <c r="E181" s="91">
        <f>SUM(G177:G179)</f>
        <v>0.1789</v>
      </c>
      <c r="F181" s="90" t="str">
        <f>$E$170</f>
        <v>t CO2e</v>
      </c>
    </row>
    <row r="182" spans="3:41" ht="20.100000000000001" customHeight="1" x14ac:dyDescent="0.25">
      <c r="D182" s="88" t="s">
        <v>1225</v>
      </c>
      <c r="E182" s="91">
        <f>SUM(I177:I179)</f>
        <v>0.16</v>
      </c>
      <c r="F182" s="90" t="str">
        <f>$E$170</f>
        <v>t CO2e</v>
      </c>
    </row>
    <row r="183" spans="3:41" ht="20.100000000000001" customHeight="1" x14ac:dyDescent="0.25"/>
    <row r="184" spans="3:41" ht="20.100000000000001" customHeight="1" x14ac:dyDescent="0.25"/>
    <row r="185" spans="3:41" ht="20.100000000000001" customHeight="1" x14ac:dyDescent="0.25">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89"/>
      <c r="AH185" s="89"/>
      <c r="AI185" s="89"/>
      <c r="AJ185" s="89"/>
      <c r="AK185" s="89"/>
      <c r="AL185" s="89"/>
      <c r="AM185" s="89"/>
      <c r="AN185" s="89"/>
      <c r="AO185" s="89"/>
    </row>
    <row r="186" spans="3:41" ht="20.100000000000001" customHeight="1" x14ac:dyDescent="0.25">
      <c r="D186" s="2" t="str" cm="1">
        <f t="array" ref="D186">Scope3_Equations.VEERG_15_4_1_1__X_EmissionFactorFromPurchasedFertiliserComponents_Title()</f>
        <v>Emission factor for fertiliser product derived from components</v>
      </c>
    </row>
    <row r="187" spans="3:41" ht="20.100000000000001" customHeight="1" x14ac:dyDescent="0.25">
      <c r="D187" s="17" t="str" cm="1">
        <f t="array" ref="D187">Scope3_Equations.VEERG_15_4_1_1__X_EmissionFactorFromPurchasedFertiliserComponents_Source()</f>
        <v>GAF</v>
      </c>
    </row>
    <row r="188" spans="3:41" ht="20.100000000000001" customHeight="1" x14ac:dyDescent="0.25">
      <c r="D188" s="25" t="str" cm="1">
        <f t="array" ref="D188">Scope3_Equations.VEERG_15_4_1_1__X_EmissionFactorFromPurchasedFertiliserComponents_Variation()</f>
        <v>VARIATION ON SOURCE: This equation is added to calculate an EF value from fertiliser components that can be used in 15.4.1.1 (1)</v>
      </c>
    </row>
    <row r="189" spans="3:41" ht="20.100000000000001" customHeight="1" x14ac:dyDescent="0.25">
      <c r="D189" s="117" t="s">
        <v>343</v>
      </c>
      <c r="E189" s="117" t="str" cm="1">
        <f t="array" aca="1" ref="E189" ca="1">Common_InputFunctions.Utility_DisplayFunctionName(F236)</f>
        <v>=Scope3_Equations.VEERG_15_4_1_1__X_EmissionFactorFromPurchasedFertiliserComponents</v>
      </c>
    </row>
    <row r="190" spans="3:41" ht="20.100000000000001" customHeight="1" x14ac:dyDescent="0.25"/>
    <row r="191" spans="3:41" ht="20.100000000000001" customHeight="1" x14ac:dyDescent="0.25"/>
    <row r="192" spans="3:41" ht="20.100000000000001" customHeight="1" x14ac:dyDescent="0.25">
      <c r="D192" s="76" t="s">
        <v>344</v>
      </c>
      <c r="E192" s="1" t="str" cm="1">
        <f t="array" ref="E192">Scope3_Equations.VEERG_15_4_1_1__X_EmissionFactorFromPurchasedFertiliserComponents_Variable()</f>
        <v>EF_f</v>
      </c>
    </row>
    <row r="193" spans="4:8" ht="20.100000000000001" customHeight="1" x14ac:dyDescent="0.25">
      <c r="D193" s="76" t="s">
        <v>118</v>
      </c>
      <c r="E193" s="9" t="str" cm="1">
        <f t="array" ref="E193">Scope3_Equations.VEERG_15_4_1_1__X_EmissionFactorFromPurchasedFertiliserComponents_Unit()</f>
        <v>kg CO2e/kg fertiliser</v>
      </c>
    </row>
    <row r="194" spans="4:8" ht="20.100000000000001" customHeight="1" x14ac:dyDescent="0.25"/>
    <row r="195" spans="4:8" ht="20.100000000000001" customHeight="1" x14ac:dyDescent="0.25">
      <c r="D195" s="119" t="str" cm="1">
        <f t="array" ref="D195:E198">_xlfn.CHOOSECOLS(Scope3_Equations.VEERG_15_4_1_1__X_EmissionFactorFromPurchasedFertiliserComponents_Arguments(),1,2)</f>
        <v>F_cf</v>
      </c>
      <c r="E195" s="124" t="str">
        <v>fraction of component c contained within the inorganic fertiliser f</v>
      </c>
      <c r="F195" s="125"/>
      <c r="G195" s="119" t="str" cm="1">
        <f t="array" ref="G195:H198">_xlfn.CHOOSECOLS(Scope3_Equations.VEERG_15_4_1_1__X_EmissionFactorFromPurchasedFertiliserComponents_Arguments(),3,4)</f>
        <v>wt%</v>
      </c>
      <c r="H195" s="268" t="str">
        <v>Input</v>
      </c>
    </row>
    <row r="196" spans="4:8" ht="20.100000000000001" customHeight="1" x14ac:dyDescent="0.25">
      <c r="D196" s="119" t="str">
        <v>EF_c</v>
      </c>
      <c r="E196" s="124" t="str">
        <v>emission factor for the production of component c</v>
      </c>
      <c r="F196" s="125"/>
      <c r="G196" s="119" t="str">
        <v>kg CO2e/kg component</v>
      </c>
      <c r="H196" s="127" t="str">
        <v>Constant</v>
      </c>
    </row>
    <row r="197" spans="4:8" ht="20.100000000000001" customHeight="1" x14ac:dyDescent="0.25">
      <c r="D197" s="119" t="str">
        <v>c</v>
      </c>
      <c r="E197" s="124" t="str">
        <v>fertiliser component</v>
      </c>
      <c r="F197" s="125"/>
      <c r="G197" s="119" t="str">
        <v/>
      </c>
      <c r="H197" s="268" t="str">
        <v>Input</v>
      </c>
    </row>
    <row r="198" spans="4:8" ht="20.100000000000001" customHeight="1" x14ac:dyDescent="0.25">
      <c r="D198" s="119" t="str">
        <v>f</v>
      </c>
      <c r="E198" s="124" t="str">
        <v>inorganic fertiliser type</v>
      </c>
      <c r="F198" s="125"/>
      <c r="G198" s="119" t="str">
        <v/>
      </c>
      <c r="H198" s="268" t="str">
        <v>Input</v>
      </c>
    </row>
    <row r="199" spans="4:8" ht="20.100000000000001" customHeight="1" x14ac:dyDescent="0.25"/>
    <row r="200" spans="4:8" ht="20.100000000000001" customHeight="1" x14ac:dyDescent="0.25"/>
    <row r="201" spans="4:8" ht="20.100000000000001" customHeight="1" x14ac:dyDescent="0.25">
      <c r="D201" s="2" t="str" cm="1">
        <f t="array" ref="D201">Scope3_Equations.VEERG_15_4_1_1__1_EmissionsFromPurchasedFertiliser_Title()</f>
        <v>Emissions from purchased fertiliser</v>
      </c>
    </row>
    <row r="202" spans="4:8" ht="20.100000000000001" customHeight="1" x14ac:dyDescent="0.25">
      <c r="D202" s="17" t="str" cm="1">
        <f t="array" ref="D202">Scope3_Equations.VEERG_15_4_1_1__1_EmissionsFromPurchasedFertiliser_Source()</f>
        <v>VEERG 2026: 15.4.1.1, Equation (1)</v>
      </c>
    </row>
    <row r="203" spans="4:8" ht="20.100000000000001" customHeight="1" x14ac:dyDescent="0.25">
      <c r="D203" s="117" t="s">
        <v>343</v>
      </c>
      <c r="E203" s="117" t="str" cm="1">
        <f t="array" aca="1" ref="E203" ca="1">Common_InputFunctions.Utility_DisplayFunctionName(G236)</f>
        <v>=Scope3_Equations.VEERG_15_4_1_1__1_EmissionsFromPurchasedFertiliser</v>
      </c>
    </row>
    <row r="204" spans="4:8" ht="20.100000000000001" customHeight="1" x14ac:dyDescent="0.25"/>
    <row r="205" spans="4:8" ht="20.100000000000001" customHeight="1" x14ac:dyDescent="0.25"/>
    <row r="206" spans="4:8" ht="20.100000000000001" customHeight="1" x14ac:dyDescent="0.25">
      <c r="D206" s="76" t="s">
        <v>344</v>
      </c>
      <c r="E206" s="1" t="str" cm="1">
        <f t="array" ref="E206">Scope3_Equations.VEERG_15_4_1_1__1_EmissionsFromPurchasedFertiliser_Variable()</f>
        <v>E</v>
      </c>
    </row>
    <row r="207" spans="4:8" ht="20.100000000000001" customHeight="1" x14ac:dyDescent="0.25">
      <c r="D207" s="76" t="s">
        <v>118</v>
      </c>
      <c r="E207" s="9" t="str" cm="1">
        <f t="array" ref="E207">Scope3_Equations.VEERG_15_4_1_1__1_EmissionsFromPurchasedFertiliser_Unit()</f>
        <v>t CO2e</v>
      </c>
    </row>
    <row r="208" spans="4:8" ht="20.100000000000001" customHeight="1" x14ac:dyDescent="0.25"/>
    <row r="209" spans="4:8" ht="20.100000000000001" customHeight="1" x14ac:dyDescent="0.25">
      <c r="D209" s="119" t="str" cm="1">
        <f t="array" ref="D209:E212">_xlfn.CHOOSECOLS(Scope3_Equations.VEERG_15_4_1_1__1_EmissionsFromPurchasedFertiliser_Arguments(),1,2)</f>
        <v>TM_jf</v>
      </c>
      <c r="E209" s="119" t="str">
        <v>quantity of inorganic fertiliser type f purchased and applied to production system j</v>
      </c>
      <c r="F209" s="119"/>
      <c r="G209" s="119" t="str" cm="1">
        <f t="array" ref="G209:H212">_xlfn.CHOOSECOLS(Scope3_Equations.VEERG_15_4_1_1__1_EmissionsFromPurchasedFertiliser_Arguments(),3,4)</f>
        <v>kg</v>
      </c>
      <c r="H209" s="268" t="str">
        <v>Input</v>
      </c>
    </row>
    <row r="210" spans="4:8" ht="20.100000000000001" customHeight="1" x14ac:dyDescent="0.25">
      <c r="D210" s="119" t="str">
        <v>EF_f</v>
      </c>
      <c r="E210" s="119" t="str">
        <v>emission factor of purchased inorganic fertiliser</v>
      </c>
      <c r="F210" s="119"/>
      <c r="G210" s="119" t="str">
        <v>kg CO2e/kg</v>
      </c>
      <c r="H210" s="127" t="str">
        <v>Constant</v>
      </c>
    </row>
    <row r="211" spans="4:8" ht="20.100000000000001" customHeight="1" x14ac:dyDescent="0.25">
      <c r="D211" s="119" t="str">
        <v>j</v>
      </c>
      <c r="E211" s="124" t="str">
        <v>production system</v>
      </c>
      <c r="F211" s="125"/>
      <c r="G211" s="119" t="str">
        <v/>
      </c>
      <c r="H211" s="268" t="str">
        <v>Input</v>
      </c>
    </row>
    <row r="212" spans="4:8" ht="20.100000000000001" customHeight="1" x14ac:dyDescent="0.25">
      <c r="D212" s="119" t="str">
        <v>f</v>
      </c>
      <c r="E212" s="124" t="str">
        <v>inorganic fertiliser type</v>
      </c>
      <c r="F212" s="125"/>
      <c r="G212" s="119" t="str">
        <v/>
      </c>
      <c r="H212" s="268" t="str">
        <v>Input</v>
      </c>
    </row>
    <row r="213" spans="4:8" ht="20.100000000000001" customHeight="1" x14ac:dyDescent="0.25"/>
    <row r="214" spans="4:8" ht="20.100000000000001" customHeight="1" x14ac:dyDescent="0.25"/>
    <row r="215" spans="4:8" ht="20.100000000000001" customHeight="1" x14ac:dyDescent="0.25">
      <c r="D215" s="2" t="str" cm="1">
        <f t="array" ref="D215">Scope3_Equations.VEERG_15_4_1_1__2_EmissionsFromPurchasedFertiliserComponents_Title()</f>
        <v>Emissions from purchased fertiliser components</v>
      </c>
    </row>
    <row r="216" spans="4:8" ht="20.100000000000001" customHeight="1" x14ac:dyDescent="0.25">
      <c r="D216" s="17" t="str" cm="1">
        <f t="array" ref="D216">Scope3_Equations.VEERG_15_4_1_1__2_EmissionsFromPurchasedFertiliserComponents_Source()</f>
        <v>VEERG 2026: 15.4.1.1, Equation (2)</v>
      </c>
    </row>
    <row r="217" spans="4:8" ht="20.100000000000001" customHeight="1" x14ac:dyDescent="0.25">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4:8" ht="20.100000000000001" customHeight="1" x14ac:dyDescent="0.25">
      <c r="D218" s="117" t="s">
        <v>343</v>
      </c>
      <c r="E218" s="117" t="str" cm="1">
        <f t="array" aca="1" ref="E218" ca="1">Common_InputFunctions.Utility_DisplayFunctionName(H236)</f>
        <v>=Scope3_Equations.VEERG_15_4_1_1__2_EmissionsFromPurchasedFertiliserComponentsVariation</v>
      </c>
    </row>
    <row r="219" spans="4:8" ht="20.100000000000001" customHeight="1" x14ac:dyDescent="0.25"/>
    <row r="220" spans="4:8" ht="20.100000000000001" customHeight="1" x14ac:dyDescent="0.25"/>
    <row r="221" spans="4:8" ht="20.100000000000001" customHeight="1" x14ac:dyDescent="0.25">
      <c r="D221" s="76" t="s">
        <v>344</v>
      </c>
      <c r="E221" s="1" t="str" cm="1">
        <f t="array" ref="E221">Scope3_Equations.VEERG_15_4_1_1__2_EmissionsFromPurchasedFertiliserComponents_Variable()</f>
        <v>E</v>
      </c>
    </row>
    <row r="222" spans="4:8" ht="20.100000000000001" customHeight="1" x14ac:dyDescent="0.25">
      <c r="D222" s="76" t="s">
        <v>118</v>
      </c>
      <c r="E222" s="9" t="str" cm="1">
        <f t="array" ref="E222">Scope3_Equations.VEERG_15_4_1_1__2_EmissionsFromPurchasedFertiliserComponents_Unit()</f>
        <v>t CO2e</v>
      </c>
    </row>
    <row r="223" spans="4:8" ht="20.100000000000001" customHeight="1" x14ac:dyDescent="0.25"/>
    <row r="224" spans="4:8" ht="20.100000000000001" customHeight="1" x14ac:dyDescent="0.25">
      <c r="D224" s="119" t="str" cm="1">
        <f t="array" ref="D224:E229">_xlfn.CHOOSECOLS(Scope3_Equations.VEERG_15_4_1_1__2_EmissionsFromPurchasedFertiliserComponents_Arguments(),1,2)</f>
        <v>F_cf</v>
      </c>
      <c r="E224" s="124" t="str">
        <v>fraction of component c contained within the inorganic fertiliser f</v>
      </c>
      <c r="F224" s="125"/>
      <c r="G224" s="119" t="str" cm="1">
        <f t="array" ref="G224:H229">_xlfn.CHOOSECOLS(Scope3_Equations.VEERG_15_4_1_1__2_EmissionsFromPurchasedFertiliserComponents_Arguments(),3,4)</f>
        <v>wt%</v>
      </c>
      <c r="H224" s="268" t="str">
        <v>Input</v>
      </c>
    </row>
    <row r="225" spans="4:40" ht="20.100000000000001" customHeight="1" x14ac:dyDescent="0.25">
      <c r="D225" s="119" t="str">
        <v>TM_jf</v>
      </c>
      <c r="E225" s="124" t="str">
        <v>quantity of inorganic fertiliser type f purchased and applied to production system j</v>
      </c>
      <c r="F225" s="125"/>
      <c r="G225" s="119" t="str">
        <v>kg</v>
      </c>
      <c r="H225" s="127" t="str">
        <v>Input</v>
      </c>
    </row>
    <row r="226" spans="4:40" ht="20.100000000000001" customHeight="1" x14ac:dyDescent="0.25">
      <c r="D226" s="119" t="str">
        <v>EF_c</v>
      </c>
      <c r="E226" s="124" t="str">
        <v>emission factor for the production of component c</v>
      </c>
      <c r="F226" s="125"/>
      <c r="G226" s="119" t="str">
        <v>kg CO2e/kg component</v>
      </c>
      <c r="H226" s="127" t="str">
        <v>Constant</v>
      </c>
    </row>
    <row r="227" spans="4:40" ht="20.100000000000001" customHeight="1" x14ac:dyDescent="0.25">
      <c r="D227" s="119" t="str">
        <v>c</v>
      </c>
      <c r="E227" s="124" t="str">
        <v>fertiliser component</v>
      </c>
      <c r="F227" s="125"/>
      <c r="G227" s="119" t="str">
        <v/>
      </c>
      <c r="H227" s="268" t="str">
        <v>Input</v>
      </c>
    </row>
    <row r="228" spans="4:40" ht="20.100000000000001" customHeight="1" x14ac:dyDescent="0.25">
      <c r="D228" s="119" t="str">
        <v>f</v>
      </c>
      <c r="E228" s="124" t="str">
        <v>inorganic fertiliser type</v>
      </c>
      <c r="F228" s="125"/>
      <c r="G228" s="119" t="str">
        <v/>
      </c>
      <c r="H228" s="268" t="str">
        <v>Input</v>
      </c>
    </row>
    <row r="229" spans="4:40" ht="20.100000000000001" customHeight="1" x14ac:dyDescent="0.25">
      <c r="D229" s="119" t="str">
        <v>j</v>
      </c>
      <c r="E229" s="124" t="str">
        <v>production system</v>
      </c>
      <c r="F229" s="125"/>
      <c r="G229" s="119" t="str">
        <v/>
      </c>
      <c r="H229" s="268" t="str">
        <v>Input</v>
      </c>
    </row>
    <row r="230" spans="4:40" ht="20.100000000000001" customHeight="1" x14ac:dyDescent="0.25"/>
    <row r="231" spans="4:40" ht="20.100000000000001" customHeight="1" x14ac:dyDescent="0.25">
      <c r="D231" s="260" t="s">
        <v>1265</v>
      </c>
    </row>
    <row r="232" spans="4:40" ht="20.100000000000001" customHeight="1" x14ac:dyDescent="0.25"/>
    <row r="233" spans="4:40" ht="20.100000000000001" customHeight="1" x14ac:dyDescent="0.25">
      <c r="D233" s="35" t="s">
        <v>1266</v>
      </c>
      <c r="E233" s="37"/>
      <c r="F233" s="38"/>
    </row>
    <row r="234" spans="4:40" ht="20.100000000000001" customHeight="1" x14ac:dyDescent="0.25"/>
    <row r="235" spans="4:40" ht="20.100000000000001" customHeight="1" x14ac:dyDescent="0.25">
      <c r="D235" s="81" t="s">
        <v>131</v>
      </c>
      <c r="E235" s="81" t="s">
        <v>1267</v>
      </c>
      <c r="F235" s="123" t="s">
        <v>1268</v>
      </c>
      <c r="G235" s="123" t="s">
        <v>1269</v>
      </c>
      <c r="H235" s="123" t="s">
        <v>1270</v>
      </c>
      <c r="I235" s="81" t="s">
        <v>1271</v>
      </c>
      <c r="J235" s="123" t="s">
        <v>1272</v>
      </c>
      <c r="K235" s="123" t="s">
        <v>1273</v>
      </c>
      <c r="L235" s="81" t="s">
        <v>1226</v>
      </c>
      <c r="M235" s="81" t="s">
        <v>1227</v>
      </c>
      <c r="N235" s="81" t="s">
        <v>1228</v>
      </c>
      <c r="O235" s="123" t="s">
        <v>656</v>
      </c>
      <c r="P235" s="123" t="s">
        <v>657</v>
      </c>
      <c r="Q235" s="123" t="s">
        <v>641</v>
      </c>
      <c r="R235" s="123" t="s">
        <v>642</v>
      </c>
      <c r="S235" s="123" t="s">
        <v>1274</v>
      </c>
      <c r="T235" s="81" t="s">
        <v>1275</v>
      </c>
      <c r="U235" s="123" t="s">
        <v>643</v>
      </c>
      <c r="V235" s="123" t="s">
        <v>644</v>
      </c>
      <c r="W235" s="123" t="s">
        <v>1276</v>
      </c>
      <c r="X235" s="81" t="s">
        <v>1277</v>
      </c>
      <c r="Y235" s="123" t="s">
        <v>645</v>
      </c>
      <c r="Z235" s="123" t="s">
        <v>646</v>
      </c>
      <c r="AA235" s="123" t="s">
        <v>1278</v>
      </c>
      <c r="AB235" s="81" t="s">
        <v>1279</v>
      </c>
      <c r="AC235" s="123" t="s">
        <v>647</v>
      </c>
      <c r="AD235" s="123" t="s">
        <v>648</v>
      </c>
      <c r="AE235" s="123" t="s">
        <v>1280</v>
      </c>
      <c r="AF235" s="81" t="s">
        <v>1281</v>
      </c>
      <c r="AG235" s="123" t="s">
        <v>649</v>
      </c>
      <c r="AH235" s="123" t="s">
        <v>650</v>
      </c>
      <c r="AI235" s="123" t="s">
        <v>1282</v>
      </c>
      <c r="AJ235" s="81" t="s">
        <v>1283</v>
      </c>
      <c r="AK235" s="123" t="s">
        <v>651</v>
      </c>
      <c r="AL235" s="123" t="s">
        <v>652</v>
      </c>
      <c r="AM235" s="123" t="s">
        <v>1284</v>
      </c>
      <c r="AN235" s="81" t="s">
        <v>1285</v>
      </c>
    </row>
    <row r="236" spans="4:40" ht="20.100000000000001" customHeight="1" x14ac:dyDescent="0.25">
      <c r="D236" s="15" t="str" cm="1">
        <f t="array" ref="D236:D245">IFERROR(INDEX(Table_Input_InorganicFertiliser_Brands[Product (select)], _xlfn.SEQUENCE(10)), "")</f>
        <v>Urea</v>
      </c>
      <c r="E236" s="15" cm="1">
        <f t="array" ref="E236:E245">IFERROR(INDEX(Table_Input_InorganicFertiliser_Brands[Total applied (kg)], _xlfn.SEQUENCE(10)), 0)</f>
        <v>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70" cm="1">
        <f t="array" ref="G236">Scope3_Equations.VEERG_15_4_1_1__1_EmissionsFromPurchasedFertiliser(E236,F236)</f>
        <v>0</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0</v>
      </c>
      <c r="I236" s="75">
        <v>0.4</v>
      </c>
      <c r="J236" s="270" cm="1">
        <f t="array" ref="J236">Scope3_Equations.VEERG_15_4_1_1__1_EmissionsFromPurchasedFertiliser(E236,I236)</f>
        <v>0</v>
      </c>
      <c r="K236" s="270"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0</v>
      </c>
      <c r="L236" s="33"/>
      <c r="M236" s="13"/>
      <c r="N236" s="254"/>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5">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5">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5">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5">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5">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5"/>
    </row>
    <row r="237" spans="4:40" ht="20.100000000000001" customHeight="1" x14ac:dyDescent="0.25">
      <c r="D237" s="15" t="str">
        <v>Boost-It</v>
      </c>
      <c r="E237" s="15">
        <v>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70" cm="1">
        <f t="array" ref="G237">Scope3_Equations.VEERG_15_4_1_1__1_EmissionsFromPurchasedFertiliser(E237,F237)</f>
        <v>0</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0</v>
      </c>
      <c r="I237" s="75">
        <v>0.9</v>
      </c>
      <c r="J237" s="270" cm="1">
        <f t="array" ref="J237">Scope3_Equations.VEERG_15_4_1_1__1_EmissionsFromPurchasedFertiliser(E237,I237)</f>
        <v>0</v>
      </c>
      <c r="K237" s="270"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0</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5"/>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5"/>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5"/>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5"/>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5"/>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5"/>
    </row>
    <row r="238" spans="4:40" ht="20.100000000000001" customHeight="1" x14ac:dyDescent="0.25">
      <c r="D238" s="15" t="str">
        <v>Cal-Gran 50/50</v>
      </c>
      <c r="E238" s="15">
        <v>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70" cm="1">
        <f t="array" ref="G238">Scope3_Equations.VEERG_15_4_1_1__1_EmissionsFromPurchasedFertiliser(E238,F238)</f>
        <v>0</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0</v>
      </c>
      <c r="I238" s="75">
        <v>0.4</v>
      </c>
      <c r="J238" s="270" cm="1">
        <f t="array" ref="J238">Scope3_Equations.VEERG_15_4_1_1__1_EmissionsFromPurchasedFertiliser(E238,I238)</f>
        <v>0</v>
      </c>
      <c r="K238" s="270"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0</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5"/>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5"/>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5"/>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5"/>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5"/>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5"/>
    </row>
    <row r="239" spans="4:40" ht="20.100000000000001" customHeight="1" x14ac:dyDescent="0.25">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70"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5"/>
      <c r="J239" s="270" cm="1">
        <f t="array" ref="J239">Scope3_Equations.VEERG_15_4_1_1__1_EmissionsFromPurchasedFertiliser(E239,I239)</f>
        <v>0</v>
      </c>
      <c r="K239" s="270"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5"/>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5"/>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5"/>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5"/>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5"/>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5"/>
    </row>
    <row r="240" spans="4:40" ht="20.100000000000001" customHeight="1" x14ac:dyDescent="0.25">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70"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5"/>
      <c r="J240" s="270" cm="1">
        <f t="array" ref="J240">Scope3_Equations.VEERG_15_4_1_1__1_EmissionsFromPurchasedFertiliser(E240,I240)</f>
        <v>0</v>
      </c>
      <c r="K240" s="270"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5"/>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5"/>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5"/>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5"/>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5"/>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5"/>
    </row>
    <row r="241" spans="4:40" ht="20.100000000000001" customHeight="1" x14ac:dyDescent="0.25">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70"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5"/>
      <c r="J241" s="270" cm="1">
        <f t="array" ref="J241">Scope3_Equations.VEERG_15_4_1_1__1_EmissionsFromPurchasedFertiliser(E241,I241)</f>
        <v>0</v>
      </c>
      <c r="K241" s="270"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5"/>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5"/>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5"/>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5"/>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5"/>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5"/>
    </row>
    <row r="242" spans="4:40" ht="20.100000000000001" customHeight="1" x14ac:dyDescent="0.25">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70"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5"/>
      <c r="J242" s="270" cm="1">
        <f t="array" ref="J242">Scope3_Equations.VEERG_15_4_1_1__1_EmissionsFromPurchasedFertiliser(E242,I242)</f>
        <v>0</v>
      </c>
      <c r="K242" s="270"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5"/>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5"/>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5"/>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5"/>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5"/>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5"/>
    </row>
    <row r="243" spans="4:40" ht="20.100000000000001" customHeight="1" x14ac:dyDescent="0.25">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70"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5"/>
      <c r="J243" s="270" cm="1">
        <f t="array" ref="J243">Scope3_Equations.VEERG_15_4_1_1__1_EmissionsFromPurchasedFertiliser(E243,I243)</f>
        <v>0</v>
      </c>
      <c r="K243" s="270"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5"/>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5"/>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5"/>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5"/>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5"/>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5"/>
    </row>
    <row r="244" spans="4:40" ht="20.100000000000001" customHeight="1" x14ac:dyDescent="0.25">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70"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5"/>
      <c r="J244" s="270" cm="1">
        <f t="array" ref="J244">Scope3_Equations.VEERG_15_4_1_1__1_EmissionsFromPurchasedFertiliser(E244,I244)</f>
        <v>0</v>
      </c>
      <c r="K244" s="270"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5"/>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5"/>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5"/>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5"/>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5"/>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5"/>
    </row>
    <row r="245" spans="4:40" ht="20.100000000000001" customHeight="1" x14ac:dyDescent="0.25">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70"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5"/>
      <c r="J245" s="270" cm="1">
        <f t="array" ref="J245">Scope3_Equations.VEERG_15_4_1_1__1_EmissionsFromPurchasedFertiliser(E245,I245)</f>
        <v>0</v>
      </c>
      <c r="K245" s="270"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5"/>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5"/>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5"/>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5"/>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5"/>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5"/>
    </row>
    <row r="246" spans="4:40" ht="20.100000000000001" customHeight="1" x14ac:dyDescent="0.25"/>
    <row r="247" spans="4:40" ht="20.100000000000001" customHeight="1" x14ac:dyDescent="0.25">
      <c r="D247" s="260" t="s">
        <v>1286</v>
      </c>
    </row>
    <row r="248" spans="4:40" ht="20.100000000000001" customHeight="1" x14ac:dyDescent="0.25"/>
    <row r="249" spans="4:40" ht="20.100000000000001" customHeight="1" x14ac:dyDescent="0.25">
      <c r="D249" s="35" t="s">
        <v>1287</v>
      </c>
      <c r="E249" s="37"/>
      <c r="F249" s="38"/>
    </row>
    <row r="250" spans="4:40" ht="20.100000000000001" customHeight="1" x14ac:dyDescent="0.25"/>
    <row r="251" spans="4:40" ht="20.100000000000001" customHeight="1" x14ac:dyDescent="0.25">
      <c r="D251" s="81" t="s">
        <v>1249</v>
      </c>
      <c r="E251" s="81" t="s">
        <v>1267</v>
      </c>
      <c r="F251" s="123" t="s">
        <v>1268</v>
      </c>
      <c r="G251" s="123" t="s">
        <v>1269</v>
      </c>
      <c r="H251" s="123" t="s">
        <v>1270</v>
      </c>
      <c r="I251" s="81" t="s">
        <v>1271</v>
      </c>
      <c r="J251" s="123" t="s">
        <v>1272</v>
      </c>
      <c r="K251" s="123" t="s">
        <v>1273</v>
      </c>
      <c r="L251" s="81" t="s">
        <v>1226</v>
      </c>
      <c r="M251" s="81" t="s">
        <v>1227</v>
      </c>
      <c r="N251" s="81" t="s">
        <v>1228</v>
      </c>
      <c r="O251" s="123" t="s">
        <v>656</v>
      </c>
      <c r="P251" s="123" t="s">
        <v>657</v>
      </c>
      <c r="Q251" s="123" t="s">
        <v>641</v>
      </c>
      <c r="R251" s="123" t="s">
        <v>642</v>
      </c>
      <c r="S251" s="123" t="s">
        <v>1274</v>
      </c>
      <c r="T251" s="81" t="s">
        <v>1275</v>
      </c>
      <c r="U251" s="123" t="s">
        <v>643</v>
      </c>
      <c r="V251" s="123" t="s">
        <v>644</v>
      </c>
      <c r="W251" s="123" t="s">
        <v>1276</v>
      </c>
      <c r="X251" s="81" t="s">
        <v>1277</v>
      </c>
      <c r="Y251" s="123" t="s">
        <v>645</v>
      </c>
      <c r="Z251" s="123" t="s">
        <v>646</v>
      </c>
      <c r="AA251" s="123" t="s">
        <v>1278</v>
      </c>
      <c r="AB251" s="81" t="s">
        <v>1279</v>
      </c>
      <c r="AC251" s="123" t="s">
        <v>647</v>
      </c>
      <c r="AD251" s="123" t="s">
        <v>648</v>
      </c>
      <c r="AE251" s="123" t="s">
        <v>1280</v>
      </c>
      <c r="AF251" s="81" t="s">
        <v>1281</v>
      </c>
    </row>
    <row r="252" spans="4:40" ht="20.100000000000001" customHeight="1" x14ac:dyDescent="0.25">
      <c r="D252" s="15" t="str" cm="1">
        <f t="array" ref="D252:D261">IFERROR(INDEX(Table_Input_InorganicFertiliser_Custom[Custom blend name], _xlfn.SEQUENCE(10)), "")</f>
        <v>My first custom blend</v>
      </c>
      <c r="E252" s="15" cm="1">
        <f t="array" ref="E252:E261">IFERROR(INDEX(Table_Input_InorganicFertiliser_Custom[Total applied (kg)], _xlfn.SEQUENCE(10)), 0)</f>
        <v>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70" cm="1">
        <f t="array" ref="G252">Scope3_Equations.VEERG_15_4_1_1__1_EmissionsFromPurchasedFertiliser(E252,F252)</f>
        <v>0</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0</v>
      </c>
      <c r="I252" s="75">
        <v>0.4</v>
      </c>
      <c r="J252" s="270" cm="1">
        <f t="array" ref="J252">Scope3_Equations.VEERG_15_4_1_1__1_EmissionsFromPurchasedFertiliser(E252,I252)</f>
        <v>0</v>
      </c>
      <c r="K252" s="270"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0</v>
      </c>
      <c r="L252" s="33"/>
      <c r="M252" s="13"/>
      <c r="N252" s="254"/>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5">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5">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5">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5">
        <v>0</v>
      </c>
    </row>
    <row r="253" spans="4:40" ht="20.100000000000001" customHeight="1" x14ac:dyDescent="0.25">
      <c r="D253" s="15" t="str">
        <v>My second custom blend</v>
      </c>
      <c r="E253" s="15">
        <v>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70" cm="1">
        <f t="array" ref="G253">Scope3_Equations.VEERG_15_4_1_1__1_EmissionsFromPurchasedFertiliser(E253,F253)</f>
        <v>0</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0</v>
      </c>
      <c r="I253" s="75">
        <v>0.9</v>
      </c>
      <c r="J253" s="270" cm="1">
        <f t="array" ref="J253">Scope3_Equations.VEERG_15_4_1_1__1_EmissionsFromPurchasedFertiliser(E253,I253)</f>
        <v>0</v>
      </c>
      <c r="K253" s="270"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0</v>
      </c>
      <c r="L253" s="33"/>
      <c r="M253" s="13"/>
      <c r="N253" s="33"/>
      <c r="O253" s="271" t="str">
        <v/>
      </c>
      <c r="P253" s="271"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5"/>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5"/>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5"/>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5"/>
    </row>
    <row r="254" spans="4:40" ht="20.100000000000001" customHeight="1" x14ac:dyDescent="0.25">
      <c r="D254" s="15" t="str">
        <v>My third custom blend</v>
      </c>
      <c r="E254" s="15">
        <v>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70" cm="1">
        <f t="array" ref="G254">Scope3_Equations.VEERG_15_4_1_1__1_EmissionsFromPurchasedFertiliser(E254,F254)</f>
        <v>0</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0</v>
      </c>
      <c r="I254" s="75">
        <v>0.4</v>
      </c>
      <c r="J254" s="270" cm="1">
        <f t="array" ref="J254">Scope3_Equations.VEERG_15_4_1_1__1_EmissionsFromPurchasedFertiliser(E254,I254)</f>
        <v>0</v>
      </c>
      <c r="K254" s="270"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0</v>
      </c>
      <c r="L254" s="33"/>
      <c r="M254" s="13"/>
      <c r="N254" s="33"/>
      <c r="O254" s="271" t="str">
        <v/>
      </c>
      <c r="P254" s="271"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5"/>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5"/>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5"/>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5"/>
    </row>
    <row r="255" spans="4:40" ht="20.100000000000001" customHeight="1" x14ac:dyDescent="0.25">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70"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5"/>
      <c r="J255" s="270" cm="1">
        <f t="array" ref="J255">Scope3_Equations.VEERG_15_4_1_1__1_EmissionsFromPurchasedFertiliser(E255,I255)</f>
        <v>0</v>
      </c>
      <c r="K255" s="270"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71" t="str">
        <v/>
      </c>
      <c r="P255" s="271"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5"/>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5"/>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5"/>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5"/>
    </row>
    <row r="256" spans="4:40" ht="20.100000000000001" customHeight="1" x14ac:dyDescent="0.25">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70"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5"/>
      <c r="J256" s="270" cm="1">
        <f t="array" ref="J256">Scope3_Equations.VEERG_15_4_1_1__1_EmissionsFromPurchasedFertiliser(E256,I256)</f>
        <v>0</v>
      </c>
      <c r="K256" s="270"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71" t="str">
        <v/>
      </c>
      <c r="P256" s="271"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5"/>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5"/>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5"/>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5"/>
    </row>
    <row r="257" spans="3:41" ht="20.100000000000001" customHeight="1" x14ac:dyDescent="0.25">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70"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5"/>
      <c r="J257" s="270" cm="1">
        <f t="array" ref="J257">Scope3_Equations.VEERG_15_4_1_1__1_EmissionsFromPurchasedFertiliser(E257,I257)</f>
        <v>0</v>
      </c>
      <c r="K257" s="270"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71" t="str">
        <v/>
      </c>
      <c r="P257" s="271"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5"/>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5"/>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5"/>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5"/>
    </row>
    <row r="258" spans="3:41" ht="20.100000000000001" customHeight="1" x14ac:dyDescent="0.25">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70"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5"/>
      <c r="J258" s="270" cm="1">
        <f t="array" ref="J258">Scope3_Equations.VEERG_15_4_1_1__1_EmissionsFromPurchasedFertiliser(E258,I258)</f>
        <v>0</v>
      </c>
      <c r="K258" s="270"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71" t="str">
        <v/>
      </c>
      <c r="P258" s="271"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5"/>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5"/>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5"/>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5"/>
    </row>
    <row r="259" spans="3:41" ht="20.100000000000001" customHeight="1" x14ac:dyDescent="0.25">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70"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5"/>
      <c r="J259" s="270" cm="1">
        <f t="array" ref="J259">Scope3_Equations.VEERG_15_4_1_1__1_EmissionsFromPurchasedFertiliser(E259,I259)</f>
        <v>0</v>
      </c>
      <c r="K259" s="270"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71" t="str">
        <v/>
      </c>
      <c r="P259" s="271"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5"/>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5"/>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5"/>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5"/>
    </row>
    <row r="260" spans="3:41" ht="20.100000000000001" customHeight="1" x14ac:dyDescent="0.25">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70"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5"/>
      <c r="J260" s="270" cm="1">
        <f t="array" ref="J260">Scope3_Equations.VEERG_15_4_1_1__1_EmissionsFromPurchasedFertiliser(E260,I260)</f>
        <v>0</v>
      </c>
      <c r="K260" s="270"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71" t="str">
        <v/>
      </c>
      <c r="P260" s="271"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5"/>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5"/>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5"/>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5"/>
    </row>
    <row r="261" spans="3:41" ht="20.100000000000001" customHeight="1" x14ac:dyDescent="0.25">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70"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5"/>
      <c r="J261" s="270" cm="1">
        <f t="array" ref="J261">Scope3_Equations.VEERG_15_4_1_1__1_EmissionsFromPurchasedFertiliser(E261,I261)</f>
        <v>0</v>
      </c>
      <c r="K261" s="270"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71" t="str">
        <v/>
      </c>
      <c r="P261" s="271"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5"/>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5"/>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5"/>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5"/>
    </row>
    <row r="262" spans="3:41" ht="20.100000000000001" customHeight="1" x14ac:dyDescent="0.25"/>
    <row r="263" spans="3:41" ht="20.100000000000001" customHeight="1" x14ac:dyDescent="0.25">
      <c r="D263" s="272" t="s">
        <v>1288</v>
      </c>
      <c r="E263" s="91">
        <f>SUM(G236:G245)+SUM(G252:G261)</f>
        <v>0</v>
      </c>
      <c r="F263" s="90" t="str">
        <f>$E$170</f>
        <v>t CO2e</v>
      </c>
    </row>
    <row r="264" spans="3:41" ht="20.100000000000001" customHeight="1" x14ac:dyDescent="0.25">
      <c r="D264" s="272" t="s">
        <v>1289</v>
      </c>
      <c r="E264" s="91">
        <f>SUM(J236:J245)+SUM(J252:J261)</f>
        <v>0</v>
      </c>
      <c r="F264" s="90" t="str">
        <f>$E$170</f>
        <v>t CO2e</v>
      </c>
    </row>
    <row r="266" spans="3:41" ht="20.25" x14ac:dyDescent="0.25">
      <c r="D266" s="272" t="s">
        <v>1290</v>
      </c>
      <c r="E266" s="91">
        <f>SUM(H236:H245)+SUM(H252:H261)</f>
        <v>0</v>
      </c>
      <c r="F266" s="90" t="str">
        <f>$E$170</f>
        <v>t CO2e</v>
      </c>
    </row>
    <row r="267" spans="3:41" ht="20.25" x14ac:dyDescent="0.25">
      <c r="D267" s="272" t="s">
        <v>1291</v>
      </c>
      <c r="E267" s="91">
        <f>SUM(K236:K245)+SUM(K252:K261)</f>
        <v>0</v>
      </c>
      <c r="F267" s="90" t="str">
        <f>$E$170</f>
        <v>t CO2e</v>
      </c>
    </row>
    <row r="270" spans="3:41" x14ac:dyDescent="0.25">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c r="AL270" s="89"/>
      <c r="AM270" s="89"/>
      <c r="AN270" s="89"/>
      <c r="AO270" s="89"/>
    </row>
    <row r="271" spans="3:41" ht="23.25" x14ac:dyDescent="0.25">
      <c r="D271" s="2" t="str" cm="1">
        <f t="array" ref="D271">Scope3_Equations.VEERG_15_5_1_1__1_EmissionsFromPurchasedAgrichemicals_Title()</f>
        <v>Total emissions from purchased agrichemicals</v>
      </c>
    </row>
    <row r="272" spans="3:41" x14ac:dyDescent="0.25">
      <c r="D272" s="17" t="str" cm="1">
        <f t="array" ref="D272">Scope3_Equations.VEERG_15_5_1_1__1_EmissionsFromPurchasedAgrichemicals_Source()</f>
        <v>VEERG 2026: 15.5.1.1, Equation (1)</v>
      </c>
    </row>
    <row r="273" spans="4:9" x14ac:dyDescent="0.25">
      <c r="D273" s="117" t="s">
        <v>343</v>
      </c>
      <c r="E273" s="117" t="str" cm="1">
        <f t="array" aca="1" ref="E273" ca="1">Common_InputFunctions.Utility_DisplayFunctionName(G285)</f>
        <v>=Scope3_Equations.VEERG_15_5_1_1__1_EmissionsFromPurchasedAgrichemicals</v>
      </c>
    </row>
    <row r="277" spans="4:9" x14ac:dyDescent="0.25">
      <c r="D277" s="76" t="s">
        <v>344</v>
      </c>
      <c r="E277" s="1" t="str" cm="1">
        <f t="array" ref="E277">Scope3_Equations.VEERG_15_5_1_1__1_EmissionsFromPurchasedAgrichemicals_Variable()</f>
        <v>E</v>
      </c>
    </row>
    <row r="278" spans="4:9" x14ac:dyDescent="0.25">
      <c r="D278" s="76" t="s">
        <v>118</v>
      </c>
      <c r="E278" s="9" t="str" cm="1">
        <f t="array" ref="E278">Scope3_Equations.VEERG_15_5_1_1__1_EmissionsFromPurchasedAgrichemicals_Unit()</f>
        <v>t CO2e</v>
      </c>
    </row>
    <row r="280" spans="4:9" x14ac:dyDescent="0.25">
      <c r="D280" s="119" t="str" cm="1">
        <f t="array" ref="D280:E282">_xlfn.CHOOSECOLS(Scope3_Equations.VEERG_15_5_1_1__1_EmissionsFromPurchasedAgrichemicals_Arguments(),1,2)</f>
        <v>Q_h</v>
      </c>
      <c r="E280" s="124" t="str">
        <v>quantity of active ingredients in agrichemical type h purchased and applied to soils</v>
      </c>
      <c r="F280" s="125"/>
      <c r="G280" s="119" t="str" cm="1">
        <f t="array" ref="G280:H282">_xlfn.CHOOSECOLS(Scope3_Equations.VEERG_15_5_1_1__1_EmissionsFromPurchasedAgrichemicals_Arguments(),3,4)</f>
        <v>kg ai</v>
      </c>
      <c r="H280" s="268" t="str">
        <v>Input</v>
      </c>
    </row>
    <row r="281" spans="4:9" x14ac:dyDescent="0.25">
      <c r="D281" s="119" t="str">
        <v>EF_h</v>
      </c>
      <c r="E281" s="124" t="str">
        <v>emission factor for purchased agrichemical active ingredient</v>
      </c>
      <c r="F281" s="125"/>
      <c r="G281" s="119" t="str">
        <v>kg CO2e/kg ai</v>
      </c>
      <c r="H281" s="127" t="str">
        <v>Constant</v>
      </c>
    </row>
    <row r="282" spans="4:9" x14ac:dyDescent="0.25">
      <c r="D282" s="119" t="str">
        <v>h</v>
      </c>
      <c r="E282" s="124" t="str">
        <v>agrichemical type</v>
      </c>
      <c r="F282" s="125"/>
      <c r="G282" s="119" t="str">
        <v/>
      </c>
      <c r="H282" s="268" t="str">
        <v>Input</v>
      </c>
    </row>
    <row r="284" spans="4:9" ht="17.25" x14ac:dyDescent="0.25">
      <c r="D284" s="81" t="s">
        <v>1292</v>
      </c>
      <c r="E284" s="81" t="s">
        <v>640</v>
      </c>
      <c r="F284" s="123" t="s">
        <v>1293</v>
      </c>
      <c r="G284" s="123" t="s">
        <v>1222</v>
      </c>
      <c r="H284" s="81" t="s">
        <v>1294</v>
      </c>
      <c r="I284" s="123" t="s">
        <v>1225</v>
      </c>
    </row>
    <row r="285" spans="4:9" x14ac:dyDescent="0.25">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0.52</v>
      </c>
      <c r="H285" s="75">
        <v>5</v>
      </c>
      <c r="I285" s="15" cm="1">
        <f t="array" ref="I285">Scope3_Equations.VEERG_15_5_1_1__1_EmissionsFromPurchasedAgrichemicals($E285,IF(H285,H285,F285))</f>
        <v>0.5</v>
      </c>
    </row>
    <row r="286" spans="4:9" x14ac:dyDescent="0.25">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5">
        <v>8</v>
      </c>
      <c r="I286" s="15" cm="1">
        <f t="array" ref="I286">Scope3_Equations.VEERG_15_5_1_1__1_EmissionsFromPurchasedAgrichemicals($E286,IF(H286,H286,F286))</f>
        <v>0</v>
      </c>
    </row>
    <row r="287" spans="4:9" x14ac:dyDescent="0.25">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5"/>
      <c r="I287" s="15" cm="1">
        <f t="array" ref="I287">Scope3_Equations.VEERG_15_5_1_1__1_EmissionsFromPurchasedAgrichemicals($E287,IF(H287,H287,F287))</f>
        <v>0</v>
      </c>
    </row>
    <row r="288" spans="4:9" x14ac:dyDescent="0.25">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1.03</v>
      </c>
      <c r="H288" s="75"/>
      <c r="I288" s="15" cm="1">
        <f t="array" ref="I288">Scope3_Equations.VEERG_15_5_1_1__1_EmissionsFromPurchasedAgrichemicals($E288,IF(H288,H288,F288))</f>
        <v>1.03</v>
      </c>
    </row>
    <row r="289" spans="3:41" x14ac:dyDescent="0.25">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5"/>
      <c r="I289" s="15" cm="1">
        <f t="array" ref="I289">Scope3_Equations.VEERG_15_5_1_1__1_EmissionsFromPurchasedAgrichemicals($E289,IF(H289,H289,F289))</f>
        <v>0</v>
      </c>
    </row>
    <row r="290" spans="3:41" x14ac:dyDescent="0.25">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5"/>
      <c r="I290" s="15" cm="1">
        <f t="array" ref="I290">Scope3_Equations.VEERG_15_5_1_1__1_EmissionsFromPurchasedAgrichemicals($E290,IF(H290,H290,F290))</f>
        <v>0</v>
      </c>
    </row>
    <row r="291" spans="3:41" x14ac:dyDescent="0.25">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0.80600000000000005</v>
      </c>
      <c r="H291" s="75"/>
      <c r="I291" s="15" cm="1">
        <f t="array" ref="I291">Scope3_Equations.VEERG_15_5_1_1__1_EmissionsFromPurchasedAgrichemicals($E291,IF(H291,H291,F291))</f>
        <v>0.80600000000000005</v>
      </c>
    </row>
    <row r="292" spans="3:41" x14ac:dyDescent="0.25">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5"/>
      <c r="I292" s="15" cm="1">
        <f t="array" ref="I292">Scope3_Equations.VEERG_15_5_1_1__1_EmissionsFromPurchasedAgrichemicals($E292,IF(H292,H292,F292))</f>
        <v>0</v>
      </c>
    </row>
    <row r="293" spans="3:41" x14ac:dyDescent="0.25">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3.6640000000000001</v>
      </c>
      <c r="H293" s="75"/>
      <c r="I293" s="15" cm="1">
        <f t="array" ref="I293">Scope3_Equations.VEERG_15_5_1_1__1_EmissionsFromPurchasedAgrichemicals($E293,IF(H293,H293,F293))</f>
        <v>3.6640000000000001</v>
      </c>
    </row>
    <row r="294" spans="3:41" x14ac:dyDescent="0.25">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5"/>
      <c r="I294" s="15" cm="1">
        <f t="array" ref="I294">Scope3_Equations.VEERG_15_5_1_1__1_EmissionsFromPurchasedAgrichemicals($E294,IF(H294,H294,F294))</f>
        <v>0</v>
      </c>
    </row>
    <row r="295" spans="3:41" x14ac:dyDescent="0.25">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0.88000000000000012</v>
      </c>
      <c r="H295" s="75"/>
      <c r="I295" s="15" cm="1">
        <f t="array" ref="I295">Scope3_Equations.VEERG_15_5_1_1__1_EmissionsFromPurchasedAgrichemicals($E295,IF(H295,H295,F295))</f>
        <v>0.88000000000000012</v>
      </c>
    </row>
    <row r="296" spans="3:41" x14ac:dyDescent="0.25">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0.61599999999999999</v>
      </c>
      <c r="H296" s="75"/>
      <c r="I296" s="15" cm="1">
        <f t="array" ref="I296">Scope3_Equations.VEERG_15_5_1_1__1_EmissionsFromPurchasedAgrichemicals($E296,IF(H296,H296,F296))</f>
        <v>0.61599999999999999</v>
      </c>
    </row>
    <row r="298" spans="3:41" ht="20.25" x14ac:dyDescent="0.25">
      <c r="D298" s="272" t="s">
        <v>1222</v>
      </c>
      <c r="E298" s="91">
        <f>SUM(G285:G296)</f>
        <v>7.5159999999999991</v>
      </c>
      <c r="F298" s="90" t="str">
        <f>$E$170</f>
        <v>t CO2e</v>
      </c>
    </row>
    <row r="299" spans="3:41" ht="20.25" x14ac:dyDescent="0.25">
      <c r="D299" s="272" t="s">
        <v>1225</v>
      </c>
      <c r="E299" s="91">
        <f>SUM(I285:I296)</f>
        <v>7.4959999999999996</v>
      </c>
      <c r="F299" s="90" t="str">
        <f>$E$170</f>
        <v>t CO2e</v>
      </c>
    </row>
    <row r="302" spans="3:41" x14ac:dyDescent="0.25">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c r="AL302" s="89"/>
      <c r="AM302" s="89"/>
      <c r="AN302" s="89"/>
      <c r="AO302" s="89"/>
    </row>
    <row r="303" spans="3:41" ht="23.25" x14ac:dyDescent="0.25">
      <c r="D303" s="2" t="str" cm="1">
        <f t="array" ref="D303">Scope3_Equations.VEERG_15_6_1_1__1_EmissionsFromPurchasedLime_Title()</f>
        <v>Embedded emissions for purchased lime</v>
      </c>
    </row>
    <row r="304" spans="3:41" x14ac:dyDescent="0.25">
      <c r="D304" s="17" t="str" cm="1">
        <f t="array" ref="D304">Scope3_Equations.VEERG_15_6_1_1__1_EmissionsFromPurchasedLime_Source()</f>
        <v>VEERG 2026: 15.6.1.1, Equation (1)</v>
      </c>
    </row>
    <row r="305" spans="4:13" x14ac:dyDescent="0.25">
      <c r="D305" s="117" t="s">
        <v>343</v>
      </c>
      <c r="E305" s="117" t="str" cm="1">
        <f t="array" aca="1" ref="E305" ca="1">Common_InputFunctions.Utility_DisplayFunctionName(I320)</f>
        <v>=Scope3_Equations.VEERG_15_6_1_1__1_EmissionsFromPurchasedLime</v>
      </c>
    </row>
    <row r="308" spans="4:13" x14ac:dyDescent="0.25">
      <c r="D308" s="76" t="s">
        <v>344</v>
      </c>
      <c r="E308" s="1" t="str" cm="1">
        <f t="array" ref="E308">Scope3_Equations.VEERG_15_6_1_1__1_EmissionsFromPurchasedLime_Variable()</f>
        <v>E</v>
      </c>
    </row>
    <row r="309" spans="4:13" x14ac:dyDescent="0.25">
      <c r="D309" s="76" t="s">
        <v>118</v>
      </c>
      <c r="E309" s="1" t="str" cm="1">
        <f t="array" ref="E309">Scope3_Equations.VEERG_15_6_1_1__1_EmissionsFromPurchasedLime_Unit()</f>
        <v>t CO2e</v>
      </c>
    </row>
    <row r="311" spans="4:13" x14ac:dyDescent="0.25">
      <c r="D311" s="119" t="str" cm="1">
        <f t="array" ref="D311:E312">_xlfn.CHOOSECOLS(Scope3_Equations.VEERG_15_6_1_1__1_EmissionsFromPurchasedLime_Arguments(),1,2)</f>
        <v>M_lime</v>
      </c>
      <c r="E311" s="119" t="str">
        <v>total quantity of lime applied to soils</v>
      </c>
      <c r="F311" s="119" t="str" cm="1">
        <f t="array" ref="F311:G312">_xlfn.CHOOSECOLS(Scope3_Equations.VEERG_15_6_1_1__1_EmissionsFromPurchasedLime_Arguments(),3,4)</f>
        <v>t</v>
      </c>
      <c r="G311" s="268" t="str">
        <v>Input</v>
      </c>
    </row>
    <row r="312" spans="4:13" x14ac:dyDescent="0.25">
      <c r="D312" s="119" t="str">
        <v>EF_l</v>
      </c>
      <c r="E312" s="119" t="str">
        <v>emission factor for purchased lime</v>
      </c>
      <c r="F312" s="119" t="str">
        <v>t CO2e/t</v>
      </c>
      <c r="G312" s="127" t="str">
        <v>Constant</v>
      </c>
    </row>
    <row r="314" spans="4:13" x14ac:dyDescent="0.25">
      <c r="E314" s="123" t="s">
        <v>129</v>
      </c>
      <c r="F314" s="81" t="s">
        <v>130</v>
      </c>
    </row>
    <row r="315" spans="4:13" ht="18.75" x14ac:dyDescent="0.25">
      <c r="D315" s="1" t="s">
        <v>1295</v>
      </c>
      <c r="E315" s="15" cm="1">
        <f t="array" ref="E315">Common_InputFunctions.Utility_LookupValueInTableNumber("Limestone (crushed)", Table_SourceData_Scope3_SoilAmeliorants[Product],Table_SourceData_Scope3_SoilAmeliorants[Emissions intensity])*10^-3</f>
        <v>4.85E-5</v>
      </c>
      <c r="F315" s="75">
        <v>4.0000000000000003E-5</v>
      </c>
      <c r="G315" s="16" t="str">
        <f>$F$312</f>
        <v>t CO2e/t</v>
      </c>
    </row>
    <row r="316" spans="4:13" ht="18.75" x14ac:dyDescent="0.25">
      <c r="D316" s="1" t="s">
        <v>1296</v>
      </c>
      <c r="E316" s="15" cm="1">
        <f t="array" ref="E316">Common_InputFunctions.Utility_LookupValueInTableNumber("Dolomite", Table_SourceData_Scope3_SoilAmeliorants[Product],Table_SourceData_Scope3_SoilAmeliorants[Emissions intensity])*10^-3</f>
        <v>6.5199999999999999E-5</v>
      </c>
      <c r="F316" s="75">
        <v>6.0000000000000002E-5</v>
      </c>
      <c r="G316" s="16"/>
    </row>
    <row r="317" spans="4:13" ht="18.75" x14ac:dyDescent="0.25">
      <c r="D317" s="1" t="s">
        <v>1297</v>
      </c>
      <c r="E317" s="15" cm="1">
        <f t="array" ref="E317">Common_InputFunctions.Utility_LookupValueInTableNumber("Gypsum", Table_SourceData_Scope3_SoilAmeliorants[Product],Table_SourceData_Scope3_SoilAmeliorants[Emissions intensity])*10^-3</f>
        <v>6.5199999999999999E-5</v>
      </c>
      <c r="F317" s="75">
        <v>6.0000000000000002E-5</v>
      </c>
      <c r="G317" s="16"/>
    </row>
    <row r="319" spans="4:13" ht="17.25" x14ac:dyDescent="0.25">
      <c r="D319" s="81" t="s">
        <v>1103</v>
      </c>
      <c r="E319" s="269" t="s">
        <v>1298</v>
      </c>
      <c r="F319" s="81" t="s">
        <v>1299</v>
      </c>
      <c r="G319" s="81" t="s">
        <v>1300</v>
      </c>
      <c r="H319" s="81" t="s">
        <v>1301</v>
      </c>
      <c r="I319" s="123" t="s">
        <v>1222</v>
      </c>
      <c r="J319" s="123" t="s">
        <v>1302</v>
      </c>
      <c r="K319" s="81" t="s">
        <v>1226</v>
      </c>
      <c r="L319" s="81" t="s">
        <v>1227</v>
      </c>
      <c r="M319" s="81" t="s">
        <v>1228</v>
      </c>
    </row>
    <row r="320" spans="4:13" x14ac:dyDescent="0.25">
      <c r="D320" s="15" t="str" cm="1">
        <f t="array" ref="D320:D329">IFERROR(INDEX(Table_Input_Lime[Product], _xlfn.SEQUENCE(10)), "")</f>
        <v>Lime product 1</v>
      </c>
      <c r="E320" s="15" cm="1">
        <f t="array" ref="E320:E329">IFERROR(INDEX(Table_Input_Lime[Total amount applied (t)], _xlfn.SEQUENCE(10)), 0)</f>
        <v>0</v>
      </c>
      <c r="F320" s="15" cm="1">
        <f t="array" ref="F320:F329">IFERROR(INDEX(Table_Input_Lime[Percent Lime CaCO3], _xlfn.SEQUENCE(10)), 0)*E320</f>
        <v>0</v>
      </c>
      <c r="G320" s="15" cm="1">
        <f t="array" ref="G320:G329">IFERROR(INDEX(Table_Input_Lime[Percent Dolomite CaMg(CO3)2], _xlfn.SEQUENCE(10)), 0)*E320</f>
        <v>0</v>
      </c>
      <c r="H320" s="15" cm="1">
        <f t="array" ref="H320:H329">IFERROR(INDEX(Table_Input_Lime[Percent Gypsum], _xlfn.SEQUENCE(10)), 0)*E320</f>
        <v>0</v>
      </c>
      <c r="I320" s="270" cm="1">
        <f t="array" ref="I320">Scope3_Equations.VEERG_15_6_1_1__1_EmissionsFromPurchasedLime(F320,$E$315)+
Scope3_Equations.VEERG_15_6_1_1__1_EmissionsFromPurchasedLime(G320,$E$316)+
Scope3_Equations.VEERG_15_6_1_1__1_EmissionsFromPurchasedLime(H320,$E$317)</f>
        <v>0</v>
      </c>
      <c r="J320" s="270" cm="1">
        <f t="array" ref="J320">Scope3_Equations.VEERG_15_6_1_1__1_EmissionsFromPurchasedLime(F320,IF($F$315,$F$315,$E$315))+
Scope3_Equations.VEERG_15_6_1_1__1_EmissionsFromPurchasedLime(G320,IF($F$316,$F$316,$E$316))+
Scope3_Equations.VEERG_15_6_1_1__1_EmissionsFromPurchasedLime(H320,IF($F$317,$F$317,$E$317))</f>
        <v>0</v>
      </c>
      <c r="K320" s="33"/>
      <c r="L320" s="13"/>
      <c r="M320" s="33"/>
    </row>
    <row r="321" spans="3:41" x14ac:dyDescent="0.25">
      <c r="D321" s="15" t="str">
        <v>Lime product 2</v>
      </c>
      <c r="E321" s="15">
        <v>0</v>
      </c>
      <c r="F321" s="15">
        <v>0</v>
      </c>
      <c r="G321" s="15">
        <v>0</v>
      </c>
      <c r="H321" s="15">
        <v>0</v>
      </c>
      <c r="I321" s="270" cm="1">
        <f t="array" ref="I321">Scope3_Equations.VEERG_15_6_1_1__1_EmissionsFromPurchasedLime(F321,$E$315)+
Scope3_Equations.VEERG_15_6_1_1__1_EmissionsFromPurchasedLime(G321,$E$316)+
Scope3_Equations.VEERG_15_6_1_1__1_EmissionsFromPurchasedLime(H321,$E$317)</f>
        <v>0</v>
      </c>
      <c r="J321" s="270" cm="1">
        <f t="array" ref="J321">Scope3_Equations.VEERG_15_6_1_1__1_EmissionsFromPurchasedLime(F321,IF($F$315,$F$315,$E$315))+
Scope3_Equations.VEERG_15_6_1_1__1_EmissionsFromPurchasedLime(G321,IF($F$316,$F$316,$E$316))+
Scope3_Equations.VEERG_15_6_1_1__1_EmissionsFromPurchasedLime(H321,IF($F$317,$F$317,$E$317))</f>
        <v>0</v>
      </c>
      <c r="K321" s="33"/>
      <c r="L321" s="13"/>
      <c r="M321" s="33"/>
    </row>
    <row r="322" spans="3:41" x14ac:dyDescent="0.25">
      <c r="D322" s="15" t="str">
        <v>Lime product 3</v>
      </c>
      <c r="E322" s="15">
        <v>0</v>
      </c>
      <c r="F322" s="15">
        <v>0</v>
      </c>
      <c r="G322" s="15">
        <v>0</v>
      </c>
      <c r="H322" s="15">
        <v>0</v>
      </c>
      <c r="I322" s="270" cm="1">
        <f t="array" ref="I322">Scope3_Equations.VEERG_15_6_1_1__1_EmissionsFromPurchasedLime(F322,$E$315)+
Scope3_Equations.VEERG_15_6_1_1__1_EmissionsFromPurchasedLime(G322,$E$316)+
Scope3_Equations.VEERG_15_6_1_1__1_EmissionsFromPurchasedLime(H322,$E$317)</f>
        <v>0</v>
      </c>
      <c r="J322" s="270" cm="1">
        <f t="array" ref="J322">Scope3_Equations.VEERG_15_6_1_1__1_EmissionsFromPurchasedLime(F322,IF($F$315,$F$315,$E$315))+
Scope3_Equations.VEERG_15_6_1_1__1_EmissionsFromPurchasedLime(G322,IF($F$316,$F$316,$E$316))+
Scope3_Equations.VEERG_15_6_1_1__1_EmissionsFromPurchasedLime(H322,IF($F$317,$F$317,$E$317))</f>
        <v>0</v>
      </c>
      <c r="K322" s="33"/>
      <c r="L322" s="13"/>
      <c r="M322" s="33"/>
    </row>
    <row r="323" spans="3:41" x14ac:dyDescent="0.25">
      <c r="D323" s="15" t="str">
        <v/>
      </c>
      <c r="E323" s="15">
        <v>0</v>
      </c>
      <c r="F323" s="15">
        <v>0</v>
      </c>
      <c r="G323" s="15">
        <v>0</v>
      </c>
      <c r="H323" s="15">
        <v>0</v>
      </c>
      <c r="I323" s="270" cm="1">
        <f t="array" ref="I323">Scope3_Equations.VEERG_15_6_1_1__1_EmissionsFromPurchasedLime(F323,$E$315)+
Scope3_Equations.VEERG_15_6_1_1__1_EmissionsFromPurchasedLime(G323,$E$316)+
Scope3_Equations.VEERG_15_6_1_1__1_EmissionsFromPurchasedLime(H323,$E$317)</f>
        <v>0</v>
      </c>
      <c r="J323" s="270"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3:41" x14ac:dyDescent="0.25">
      <c r="D324" s="15" t="str">
        <v/>
      </c>
      <c r="E324" s="15">
        <v>0</v>
      </c>
      <c r="F324" s="15">
        <v>0</v>
      </c>
      <c r="G324" s="15">
        <v>0</v>
      </c>
      <c r="H324" s="15">
        <v>0</v>
      </c>
      <c r="I324" s="270" cm="1">
        <f t="array" ref="I324">Scope3_Equations.VEERG_15_6_1_1__1_EmissionsFromPurchasedLime(F324,$E$315)+
Scope3_Equations.VEERG_15_6_1_1__1_EmissionsFromPurchasedLime(G324,$E$316)+
Scope3_Equations.VEERG_15_6_1_1__1_EmissionsFromPurchasedLime(H324,$E$317)</f>
        <v>0</v>
      </c>
      <c r="J324" s="270"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3:41" x14ac:dyDescent="0.25">
      <c r="D325" s="15" t="str">
        <v/>
      </c>
      <c r="E325" s="15">
        <v>0</v>
      </c>
      <c r="F325" s="15">
        <v>0</v>
      </c>
      <c r="G325" s="15">
        <v>0</v>
      </c>
      <c r="H325" s="15">
        <v>0</v>
      </c>
      <c r="I325" s="270" cm="1">
        <f t="array" ref="I325">Scope3_Equations.VEERG_15_6_1_1__1_EmissionsFromPurchasedLime(F325,$E$315)+
Scope3_Equations.VEERG_15_6_1_1__1_EmissionsFromPurchasedLime(G325,$E$316)+
Scope3_Equations.VEERG_15_6_1_1__1_EmissionsFromPurchasedLime(H325,$E$317)</f>
        <v>0</v>
      </c>
      <c r="J325" s="270"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3:41" x14ac:dyDescent="0.25">
      <c r="D326" s="15" t="str">
        <v/>
      </c>
      <c r="E326" s="15">
        <v>0</v>
      </c>
      <c r="F326" s="15">
        <v>0</v>
      </c>
      <c r="G326" s="15">
        <v>0</v>
      </c>
      <c r="H326" s="15">
        <v>0</v>
      </c>
      <c r="I326" s="270" cm="1">
        <f t="array" ref="I326">Scope3_Equations.VEERG_15_6_1_1__1_EmissionsFromPurchasedLime(F326,$E$315)+
Scope3_Equations.VEERG_15_6_1_1__1_EmissionsFromPurchasedLime(G326,$E$316)+
Scope3_Equations.VEERG_15_6_1_1__1_EmissionsFromPurchasedLime(H326,$E$317)</f>
        <v>0</v>
      </c>
      <c r="J326" s="270"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3:41" x14ac:dyDescent="0.25">
      <c r="D327" s="15" t="str">
        <v/>
      </c>
      <c r="E327" s="15">
        <v>0</v>
      </c>
      <c r="F327" s="15">
        <v>0</v>
      </c>
      <c r="G327" s="15">
        <v>0</v>
      </c>
      <c r="H327" s="15">
        <v>0</v>
      </c>
      <c r="I327" s="270" cm="1">
        <f t="array" ref="I327">Scope3_Equations.VEERG_15_6_1_1__1_EmissionsFromPurchasedLime(F327,$E$315)+
Scope3_Equations.VEERG_15_6_1_1__1_EmissionsFromPurchasedLime(G327,$E$316)+
Scope3_Equations.VEERG_15_6_1_1__1_EmissionsFromPurchasedLime(H327,$E$317)</f>
        <v>0</v>
      </c>
      <c r="J327" s="270"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3:41" x14ac:dyDescent="0.25">
      <c r="D328" s="15" t="str">
        <v/>
      </c>
      <c r="E328" s="15">
        <v>0</v>
      </c>
      <c r="F328" s="15">
        <v>0</v>
      </c>
      <c r="G328" s="15">
        <v>0</v>
      </c>
      <c r="H328" s="15">
        <v>0</v>
      </c>
      <c r="I328" s="270" cm="1">
        <f t="array" ref="I328">Scope3_Equations.VEERG_15_6_1_1__1_EmissionsFromPurchasedLime(F328,$E$315)+
Scope3_Equations.VEERG_15_6_1_1__1_EmissionsFromPurchasedLime(G328,$E$316)+
Scope3_Equations.VEERG_15_6_1_1__1_EmissionsFromPurchasedLime(H328,$E$317)</f>
        <v>0</v>
      </c>
      <c r="J328" s="270"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3:41" x14ac:dyDescent="0.25">
      <c r="D329" s="15" t="str">
        <v/>
      </c>
      <c r="E329" s="15">
        <v>0</v>
      </c>
      <c r="F329" s="15">
        <v>0</v>
      </c>
      <c r="G329" s="15">
        <v>0</v>
      </c>
      <c r="H329" s="15">
        <v>0</v>
      </c>
      <c r="I329" s="270" cm="1">
        <f t="array" ref="I329">Scope3_Equations.VEERG_15_6_1_1__1_EmissionsFromPurchasedLime(F329,$E$315)+
Scope3_Equations.VEERG_15_6_1_1__1_EmissionsFromPurchasedLime(G329,$E$316)+
Scope3_Equations.VEERG_15_6_1_1__1_EmissionsFromPurchasedLime(H329,$E$317)</f>
        <v>0</v>
      </c>
      <c r="J329" s="270"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3:41" ht="20.25" x14ac:dyDescent="0.25">
      <c r="D331" s="272" t="s">
        <v>1222</v>
      </c>
      <c r="E331" s="91">
        <f>SUM(I320:I329)</f>
        <v>0</v>
      </c>
      <c r="F331" s="90" t="str">
        <f>$E$170</f>
        <v>t CO2e</v>
      </c>
    </row>
    <row r="332" spans="3:41" ht="20.25" x14ac:dyDescent="0.25">
      <c r="D332" s="272" t="s">
        <v>1225</v>
      </c>
      <c r="E332" s="91">
        <f>SUM(J320:J329)</f>
        <v>0</v>
      </c>
      <c r="F332" s="90" t="str">
        <f>$E$170</f>
        <v>t CO2e</v>
      </c>
    </row>
    <row r="335" spans="3:41" x14ac:dyDescent="0.25">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c r="AE335" s="89"/>
      <c r="AF335" s="89"/>
      <c r="AG335" s="89"/>
      <c r="AH335" s="89"/>
      <c r="AI335" s="89"/>
      <c r="AJ335" s="89"/>
      <c r="AK335" s="89"/>
      <c r="AL335" s="89"/>
      <c r="AM335" s="89"/>
      <c r="AN335" s="89"/>
      <c r="AO335" s="89"/>
    </row>
    <row r="336" spans="3:41" ht="23.25" x14ac:dyDescent="0.25">
      <c r="D336" s="2" t="str" cm="1">
        <f t="array" ref="D336">Scope3_Equations.VEERG_15_7_1_1__1_EmissionsFromPurchasedServices_Title()</f>
        <v>Emissions of purchased services and contractor operations</v>
      </c>
    </row>
    <row r="337" spans="4:15" x14ac:dyDescent="0.25">
      <c r="D337" s="17" t="str" cm="1">
        <f t="array" ref="D337">Scope3_Equations.VEERG_15_7_1_1__1_EmissionsFromPurchasedServices_Source()</f>
        <v>VEERG 2026: 15.7.1.1, Equation (1)</v>
      </c>
    </row>
    <row r="338" spans="4:15" x14ac:dyDescent="0.25">
      <c r="D338" s="117" t="s">
        <v>343</v>
      </c>
      <c r="E338" s="117" t="str" cm="1">
        <f t="array" aca="1" ref="E338" ca="1">Common_InputFunctions.Utility_DisplayFunctionName(K351)</f>
        <v>=Scope3_Equations.VEERG_15_7_1_1__1_EmissionsFromPurchasedServices</v>
      </c>
    </row>
    <row r="340" spans="4:15" x14ac:dyDescent="0.25">
      <c r="H340" s="1" t="s">
        <v>1303</v>
      </c>
    </row>
    <row r="341" spans="4:15" x14ac:dyDescent="0.25">
      <c r="D341" s="76" t="s">
        <v>344</v>
      </c>
      <c r="E341" s="1" t="str" cm="1">
        <f t="array" ref="E341">Scope3_Equations.VEERG_15_7_1_1__1_EmissionsFromPurchasedServices_Variable()</f>
        <v>E</v>
      </c>
    </row>
    <row r="342" spans="4:15" x14ac:dyDescent="0.25">
      <c r="D342" s="76" t="s">
        <v>118</v>
      </c>
      <c r="E342" s="1" t="str" cm="1">
        <f t="array" ref="E342">Scope3_Equations.VEERG_15_7_1_1__1_EmissionsFromPurchasedServices_Unit()</f>
        <v>t CO2e</v>
      </c>
    </row>
    <row r="344" spans="4:15" x14ac:dyDescent="0.25">
      <c r="D344" s="119" t="str" cm="1">
        <f t="array" ref="D344:E346">_xlfn.CHOOSECOLS(Scope3_Equations.VEERG_15_7_1_1__1_EmissionsFromPurchasedServices_Arguments(),1,2)</f>
        <v>A_p</v>
      </c>
      <c r="E344" s="124" t="str">
        <v>activity data of the service that was purchased</v>
      </c>
      <c r="F344" s="125"/>
      <c r="G344" s="119" t="str" cm="1">
        <f t="array" ref="G344:H346">_xlfn.CHOOSECOLS(Scope3_Equations.VEERG_15_7_1_1__1_EmissionsFromPurchasedServices_Arguments(),3,4)</f>
        <v>ha or h</v>
      </c>
      <c r="H344" s="268" t="str">
        <v>Input</v>
      </c>
    </row>
    <row r="345" spans="4:15" x14ac:dyDescent="0.25">
      <c r="D345" s="119" t="str">
        <v>EF_p</v>
      </c>
      <c r="E345" s="124" t="str">
        <v>life cycle emission factor for the purchased service</v>
      </c>
      <c r="F345" s="125"/>
      <c r="G345" s="119" t="str">
        <v>kg CO2e/ha or kg CO2e/h</v>
      </c>
      <c r="H345" s="127" t="str">
        <v>Constant</v>
      </c>
    </row>
    <row r="346" spans="4:15" x14ac:dyDescent="0.25">
      <c r="D346" s="119" t="str">
        <v>p</v>
      </c>
      <c r="E346" s="124" t="str">
        <v>service type</v>
      </c>
      <c r="F346" s="125"/>
      <c r="G346" s="119" t="str">
        <v/>
      </c>
      <c r="H346" s="268" t="str">
        <v>Input</v>
      </c>
    </row>
    <row r="348" spans="4:15" x14ac:dyDescent="0.25">
      <c r="D348" s="25" t="s">
        <v>1304</v>
      </c>
    </row>
    <row r="350" spans="4:15" x14ac:dyDescent="0.25">
      <c r="D350" s="81" t="s">
        <v>1113</v>
      </c>
      <c r="E350" s="81" t="s">
        <v>1114</v>
      </c>
      <c r="F350" s="81" t="s">
        <v>1115</v>
      </c>
      <c r="G350" s="81" t="s">
        <v>877</v>
      </c>
      <c r="H350" s="123" t="s">
        <v>1305</v>
      </c>
      <c r="I350" s="123" t="s">
        <v>1306</v>
      </c>
      <c r="J350" s="81" t="s">
        <v>1307</v>
      </c>
      <c r="K350" s="123" t="s">
        <v>1308</v>
      </c>
      <c r="L350" s="123" t="s">
        <v>1309</v>
      </c>
      <c r="M350" s="81" t="s">
        <v>1226</v>
      </c>
      <c r="N350" s="81" t="s">
        <v>1227</v>
      </c>
      <c r="O350" s="81" t="s">
        <v>1228</v>
      </c>
    </row>
    <row r="351" spans="4:15" x14ac:dyDescent="0.25">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1310</v>
      </c>
      <c r="I351" s="15" t="s">
        <v>1310</v>
      </c>
      <c r="J351" s="75">
        <v>4</v>
      </c>
      <c r="K351" s="270" cm="1">
        <f t="array" ref="K351">Scope3_Equations.VEERG_15_7_1_1__1_EmissionsFromPurchasedServices(F351,J351)</f>
        <v>40</v>
      </c>
      <c r="L351" s="15" t="str">
        <f>"t CO2e / " &amp; G351</f>
        <v>t CO2e / Hour</v>
      </c>
      <c r="M351" s="33"/>
      <c r="N351" s="13"/>
      <c r="O351" s="33"/>
    </row>
    <row r="352" spans="4:15" x14ac:dyDescent="0.25">
      <c r="D352" s="15" t="str">
        <v>Harini's Harvesting Services Pty Ltd</v>
      </c>
      <c r="E352" s="15" t="str">
        <v>Wheat harvesting</v>
      </c>
      <c r="F352" s="15">
        <v>1000</v>
      </c>
      <c r="G352" s="15" t="str">
        <v>Hectare</v>
      </c>
      <c r="H352" s="15" t="s">
        <v>1310</v>
      </c>
      <c r="I352" s="15" t="s">
        <v>1310</v>
      </c>
      <c r="J352" s="75">
        <v>2</v>
      </c>
      <c r="K352" s="270" cm="1">
        <f t="array" ref="K352">Scope3_Equations.VEERG_15_7_1_1__1_EmissionsFromPurchasedServices(F352,J352)</f>
        <v>2</v>
      </c>
      <c r="L352" s="15" t="str">
        <f t="shared" ref="L352:L360" si="1">"t CO2e / " &amp; G352</f>
        <v>t CO2e / Hectare</v>
      </c>
      <c r="M352" s="33"/>
      <c r="N352" s="13"/>
      <c r="O352" s="33"/>
    </row>
    <row r="353" spans="3:41" x14ac:dyDescent="0.25">
      <c r="D353" s="15">
        <v>0</v>
      </c>
      <c r="E353" s="15">
        <v>0</v>
      </c>
      <c r="F353" s="15">
        <v>0</v>
      </c>
      <c r="G353" s="15">
        <v>0</v>
      </c>
      <c r="H353" s="15" t="s">
        <v>1310</v>
      </c>
      <c r="I353" s="15" t="s">
        <v>1310</v>
      </c>
      <c r="J353" s="75"/>
      <c r="K353" s="270" cm="1">
        <f t="array" ref="K353">Scope3_Equations.VEERG_15_7_1_1__1_EmissionsFromPurchasedServices(F353,J353)</f>
        <v>0</v>
      </c>
      <c r="L353" s="15" t="str">
        <f t="shared" si="1"/>
        <v>t CO2e / 0</v>
      </c>
      <c r="M353" s="33"/>
      <c r="N353" s="13"/>
      <c r="O353" s="33"/>
    </row>
    <row r="354" spans="3:41" x14ac:dyDescent="0.25">
      <c r="D354" s="15">
        <v>0</v>
      </c>
      <c r="E354" s="15">
        <v>0</v>
      </c>
      <c r="F354" s="15">
        <v>0</v>
      </c>
      <c r="G354" s="15">
        <v>0</v>
      </c>
      <c r="H354" s="15" t="s">
        <v>1310</v>
      </c>
      <c r="I354" s="15" t="s">
        <v>1310</v>
      </c>
      <c r="J354" s="75"/>
      <c r="K354" s="270" cm="1">
        <f t="array" ref="K354">Scope3_Equations.VEERG_15_7_1_1__1_EmissionsFromPurchasedServices(F354,J354)</f>
        <v>0</v>
      </c>
      <c r="L354" s="15" t="str">
        <f t="shared" si="1"/>
        <v>t CO2e / 0</v>
      </c>
      <c r="M354" s="33"/>
      <c r="N354" s="13"/>
      <c r="O354" s="33"/>
    </row>
    <row r="355" spans="3:41" x14ac:dyDescent="0.25">
      <c r="D355" s="15">
        <v>0</v>
      </c>
      <c r="E355" s="15">
        <v>0</v>
      </c>
      <c r="F355" s="15">
        <v>0</v>
      </c>
      <c r="G355" s="15">
        <v>0</v>
      </c>
      <c r="H355" s="15" t="s">
        <v>1310</v>
      </c>
      <c r="I355" s="15" t="s">
        <v>1310</v>
      </c>
      <c r="J355" s="75"/>
      <c r="K355" s="270" cm="1">
        <f t="array" ref="K355">Scope3_Equations.VEERG_15_7_1_1__1_EmissionsFromPurchasedServices(F355,J355)</f>
        <v>0</v>
      </c>
      <c r="L355" s="15" t="str">
        <f t="shared" si="1"/>
        <v>t CO2e / 0</v>
      </c>
      <c r="M355" s="33"/>
      <c r="N355" s="13"/>
      <c r="O355" s="33"/>
    </row>
    <row r="356" spans="3:41" x14ac:dyDescent="0.25">
      <c r="D356" s="15">
        <v>0</v>
      </c>
      <c r="E356" s="15">
        <v>0</v>
      </c>
      <c r="F356" s="15">
        <v>0</v>
      </c>
      <c r="G356" s="15">
        <v>0</v>
      </c>
      <c r="H356" s="15" t="s">
        <v>1310</v>
      </c>
      <c r="I356" s="15" t="s">
        <v>1310</v>
      </c>
      <c r="J356" s="75"/>
      <c r="K356" s="270" cm="1">
        <f t="array" ref="K356">Scope3_Equations.VEERG_15_7_1_1__1_EmissionsFromPurchasedServices(F356,J356)</f>
        <v>0</v>
      </c>
      <c r="L356" s="15" t="str">
        <f t="shared" si="1"/>
        <v>t CO2e / 0</v>
      </c>
      <c r="M356" s="33"/>
      <c r="N356" s="13"/>
      <c r="O356" s="33"/>
    </row>
    <row r="357" spans="3:41" x14ac:dyDescent="0.25">
      <c r="D357" s="15">
        <v>0</v>
      </c>
      <c r="E357" s="15">
        <v>0</v>
      </c>
      <c r="F357" s="15">
        <v>0</v>
      </c>
      <c r="G357" s="15">
        <v>0</v>
      </c>
      <c r="H357" s="15" t="s">
        <v>1310</v>
      </c>
      <c r="I357" s="15" t="s">
        <v>1310</v>
      </c>
      <c r="J357" s="75"/>
      <c r="K357" s="270" cm="1">
        <f t="array" ref="K357">Scope3_Equations.VEERG_15_7_1_1__1_EmissionsFromPurchasedServices(F357,J357)</f>
        <v>0</v>
      </c>
      <c r="L357" s="15" t="str">
        <f t="shared" si="1"/>
        <v>t CO2e / 0</v>
      </c>
      <c r="M357" s="33"/>
      <c r="N357" s="13"/>
      <c r="O357" s="33"/>
    </row>
    <row r="358" spans="3:41" x14ac:dyDescent="0.25">
      <c r="D358" s="15">
        <v>0</v>
      </c>
      <c r="E358" s="15">
        <v>0</v>
      </c>
      <c r="F358" s="15">
        <v>0</v>
      </c>
      <c r="G358" s="15">
        <v>0</v>
      </c>
      <c r="H358" s="15" t="s">
        <v>1310</v>
      </c>
      <c r="I358" s="15" t="s">
        <v>1310</v>
      </c>
      <c r="J358" s="75"/>
      <c r="K358" s="270" cm="1">
        <f t="array" ref="K358">Scope3_Equations.VEERG_15_7_1_1__1_EmissionsFromPurchasedServices(F358,J358)</f>
        <v>0</v>
      </c>
      <c r="L358" s="15" t="str">
        <f t="shared" si="1"/>
        <v>t CO2e / 0</v>
      </c>
      <c r="M358" s="33"/>
      <c r="N358" s="13"/>
      <c r="O358" s="33"/>
    </row>
    <row r="359" spans="3:41" x14ac:dyDescent="0.25">
      <c r="D359" s="15">
        <v>0</v>
      </c>
      <c r="E359" s="15">
        <v>0</v>
      </c>
      <c r="F359" s="15">
        <v>0</v>
      </c>
      <c r="G359" s="15">
        <v>0</v>
      </c>
      <c r="H359" s="15" t="s">
        <v>1310</v>
      </c>
      <c r="I359" s="15" t="s">
        <v>1310</v>
      </c>
      <c r="J359" s="75"/>
      <c r="K359" s="270" cm="1">
        <f t="array" ref="K359">Scope3_Equations.VEERG_15_7_1_1__1_EmissionsFromPurchasedServices(F359,J359)</f>
        <v>0</v>
      </c>
      <c r="L359" s="15" t="str">
        <f t="shared" si="1"/>
        <v>t CO2e / 0</v>
      </c>
      <c r="M359" s="33"/>
      <c r="N359" s="13"/>
      <c r="O359" s="33"/>
    </row>
    <row r="360" spans="3:41" x14ac:dyDescent="0.25">
      <c r="D360" s="15">
        <v>0</v>
      </c>
      <c r="E360" s="15">
        <v>0</v>
      </c>
      <c r="F360" s="15">
        <v>0</v>
      </c>
      <c r="G360" s="15">
        <v>0</v>
      </c>
      <c r="H360" s="15" t="s">
        <v>1310</v>
      </c>
      <c r="I360" s="15" t="s">
        <v>1310</v>
      </c>
      <c r="J360" s="75"/>
      <c r="K360" s="270" cm="1">
        <f t="array" ref="K360">Scope3_Equations.VEERG_15_7_1_1__1_EmissionsFromPurchasedServices(F360,J360)</f>
        <v>0</v>
      </c>
      <c r="L360" s="15" t="str">
        <f t="shared" si="1"/>
        <v>t CO2e / 0</v>
      </c>
      <c r="M360" s="33"/>
      <c r="N360" s="13"/>
      <c r="O360" s="33"/>
    </row>
    <row r="362" spans="3:41" ht="20.25" x14ac:dyDescent="0.25">
      <c r="D362" s="272" t="s">
        <v>1222</v>
      </c>
      <c r="E362" s="91" t="s">
        <v>1310</v>
      </c>
      <c r="F362" s="90" t="str">
        <f>$E$170</f>
        <v>t CO2e</v>
      </c>
    </row>
    <row r="363" spans="3:41" ht="20.25" x14ac:dyDescent="0.25">
      <c r="D363" s="272" t="s">
        <v>1225</v>
      </c>
      <c r="E363" s="91">
        <f>SUM(K351:K360)</f>
        <v>42</v>
      </c>
      <c r="F363" s="90" t="str">
        <f>$E$170</f>
        <v>t CO2e</v>
      </c>
    </row>
    <row r="366" spans="3:41" x14ac:dyDescent="0.25">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c r="AE366" s="89"/>
      <c r="AF366" s="89"/>
      <c r="AG366" s="89"/>
      <c r="AH366" s="89"/>
      <c r="AI366" s="89"/>
      <c r="AJ366" s="89"/>
      <c r="AK366" s="89"/>
      <c r="AL366" s="89"/>
      <c r="AM366" s="89"/>
      <c r="AN366" s="89"/>
      <c r="AO366" s="89"/>
    </row>
    <row r="367" spans="3:41" ht="23.25" x14ac:dyDescent="0.25">
      <c r="D367" s="2" t="str" cm="1">
        <f t="array" ref="D367">Scope3_Equations.VEERG_15_8_1_1__1_EmissionsFromPurchasedPackaging_Title()</f>
        <v>Embedded emissions from use of packaging materials</v>
      </c>
    </row>
    <row r="368" spans="3:41" x14ac:dyDescent="0.25">
      <c r="D368" s="17" t="str" cm="1">
        <f t="array" ref="D368">Scope3_Equations.VEERG_15_8_1_1__1_EmissionsFromPurchasedPackaging_Source()</f>
        <v>VEERG 2026: 15.8.1.1, Equation (1)</v>
      </c>
    </row>
    <row r="369" spans="4:13" x14ac:dyDescent="0.25">
      <c r="D369" s="25" t="str" cm="1">
        <f t="array" ref="D369">Scope3_Equations.VEERG_15_8_1_1__1_EmissionsFromPurchasedPackaging_Variation()</f>
        <v>VARIATION ON SOURCE: Changed unit of Q from 'units' to 'kg' as EF data is in kg.</v>
      </c>
    </row>
    <row r="370" spans="4:13" x14ac:dyDescent="0.25">
      <c r="D370" s="117" t="s">
        <v>343</v>
      </c>
      <c r="E370" s="117" t="str" cm="1">
        <f t="array" aca="1" ref="E370" ca="1">Common_InputFunctions.Utility_DisplayFunctionName(H382)</f>
        <v>=Scope3_Equations.VEERG_15_8_1_1__1_EmissionsFromPurchasedPackaging</v>
      </c>
    </row>
    <row r="374" spans="4:13" x14ac:dyDescent="0.25">
      <c r="D374" s="76" t="s">
        <v>344</v>
      </c>
      <c r="E374" s="1" t="str" cm="1">
        <f t="array" ref="E374">Scope3_Equations.VEERG_15_8_1_1__1_EmissionsFromPurchasedPackaging_Variable()</f>
        <v>E</v>
      </c>
    </row>
    <row r="375" spans="4:13" x14ac:dyDescent="0.25">
      <c r="D375" s="76" t="s">
        <v>118</v>
      </c>
      <c r="E375" s="9" t="str" cm="1">
        <f t="array" ref="E375">Scope3_Equations.VEERG_15_8_1_1__1_EmissionsFromPurchasedPackaging_Unit()</f>
        <v>t CO2e</v>
      </c>
    </row>
    <row r="377" spans="4:13" x14ac:dyDescent="0.25">
      <c r="D377" s="119" t="str" cm="1">
        <f t="array" ref="D377:E379">_xlfn.CHOOSECOLS(Scope3_Equations.VEERG_15_8_1_1__1_EmissionsFromPurchasedPackaging_Arguments(),1,2)</f>
        <v>Q_p</v>
      </c>
      <c r="E377" s="119" t="str">
        <v>units of packaging type p</v>
      </c>
      <c r="F377" s="119" t="str" cm="1">
        <f t="array" ref="F377:G379">_xlfn.CHOOSECOLS(Scope3_Equations.VEERG_15_8_1_1__1_EmissionsFromPurchasedPackaging_Arguments(),3,4)</f>
        <v>units</v>
      </c>
      <c r="G377" s="268" t="str">
        <v>Input</v>
      </c>
    </row>
    <row r="378" spans="4:13" x14ac:dyDescent="0.25">
      <c r="D378" s="119" t="str">
        <v>EF_p</v>
      </c>
      <c r="E378" s="119" t="str">
        <v>emission factor for packaging type p</v>
      </c>
      <c r="F378" s="119" t="str">
        <v>kg CO2e/unit</v>
      </c>
      <c r="G378" s="127" t="str">
        <v>Constant</v>
      </c>
    </row>
    <row r="379" spans="4:13" x14ac:dyDescent="0.25">
      <c r="D379" s="119" t="str">
        <v>p</v>
      </c>
      <c r="E379" s="119" t="str">
        <v>packaging type</v>
      </c>
      <c r="F379" s="119" t="str">
        <v/>
      </c>
      <c r="G379" s="268" t="str">
        <v>Input</v>
      </c>
    </row>
    <row r="381" spans="4:13" ht="17.25" x14ac:dyDescent="0.25">
      <c r="D381" s="81" t="s">
        <v>1216</v>
      </c>
      <c r="E381" s="269" t="s">
        <v>1311</v>
      </c>
      <c r="F381" s="269" t="s">
        <v>1312</v>
      </c>
      <c r="G381" s="123" t="s">
        <v>1313</v>
      </c>
      <c r="H381" s="123" t="s">
        <v>1222</v>
      </c>
      <c r="I381" s="81" t="s">
        <v>1314</v>
      </c>
      <c r="J381" s="123" t="s">
        <v>1225</v>
      </c>
      <c r="K381" s="81" t="s">
        <v>1226</v>
      </c>
      <c r="L381" s="81" t="s">
        <v>1227</v>
      </c>
      <c r="M381" s="81" t="s">
        <v>1228</v>
      </c>
    </row>
    <row r="382" spans="4:13" x14ac:dyDescent="0.25">
      <c r="D382" s="15"/>
      <c r="E382" s="15"/>
      <c r="F382" s="15"/>
      <c r="G382" s="15" cm="1">
        <f t="array" ref="G382">Common_InputFunctions.Utility_LookupValueInTableNumber(E382,Table_SourceData_Scope3_Packaging[Product],Table_SourceData_Scope3_Packaging[Emissions intensity])</f>
        <v>0</v>
      </c>
      <c r="H382" s="270" cm="1">
        <f t="array" ref="H382">Scope3_Equations.VEERG_15_8_1_1__1_EmissionsFromPurchasedPackaging(F382,G382)</f>
        <v>0</v>
      </c>
      <c r="I382" s="75">
        <v>3</v>
      </c>
      <c r="J382" s="270" cm="1">
        <f t="array" ref="J382">Scope3_Equations.VEERG_15_8_1_1__1_EmissionsFromPurchasedPackaging(F382,IF(I382,I382,G382))</f>
        <v>0</v>
      </c>
      <c r="K382" s="33"/>
      <c r="L382" s="13"/>
      <c r="M382" s="33"/>
    </row>
    <row r="383" spans="4:13" x14ac:dyDescent="0.25">
      <c r="D383" s="15"/>
      <c r="E383" s="15"/>
      <c r="F383" s="15"/>
      <c r="G383" s="15" cm="1">
        <f t="array" ref="G383">Common_InputFunctions.Utility_LookupValueInTableNumber(E383,Table_SourceData_Scope3_Packaging[Product],Table_SourceData_Scope3_Packaging[Emissions intensity])</f>
        <v>0</v>
      </c>
      <c r="H383" s="270" cm="1">
        <f t="array" ref="H383">Scope3_Equations.VEERG_15_8_1_1__1_EmissionsFromPurchasedPackaging(F383,G383)</f>
        <v>0</v>
      </c>
      <c r="I383" s="75"/>
      <c r="J383" s="270" cm="1">
        <f t="array" ref="J383">Scope3_Equations.VEERG_15_8_1_1__1_EmissionsFromPurchasedPackaging(F383,IF(I383,I383,G383))</f>
        <v>0</v>
      </c>
      <c r="K383" s="33"/>
      <c r="L383" s="13"/>
      <c r="M383" s="33"/>
    </row>
    <row r="384" spans="4:13" x14ac:dyDescent="0.25">
      <c r="D384" s="15"/>
      <c r="E384" s="15"/>
      <c r="F384" s="15"/>
      <c r="G384" s="15" cm="1">
        <f t="array" ref="G384">Common_InputFunctions.Utility_LookupValueInTableNumber(E384,Table_SourceData_Scope3_Packaging[Product],Table_SourceData_Scope3_Packaging[Emissions intensity])</f>
        <v>0</v>
      </c>
      <c r="H384" s="270" cm="1">
        <f t="array" ref="H384">Scope3_Equations.VEERG_15_8_1_1__1_EmissionsFromPurchasedPackaging(F384,G384)</f>
        <v>0</v>
      </c>
      <c r="I384" s="75"/>
      <c r="J384" s="270" cm="1">
        <f t="array" ref="J384">Scope3_Equations.VEERG_15_8_1_1__1_EmissionsFromPurchasedPackaging(F384,IF(I384,I384,G384))</f>
        <v>0</v>
      </c>
      <c r="K384" s="33"/>
      <c r="L384" s="13"/>
      <c r="M384" s="33"/>
    </row>
    <row r="385" spans="3:41" x14ac:dyDescent="0.25">
      <c r="D385" s="15"/>
      <c r="E385" s="15"/>
      <c r="F385" s="15"/>
      <c r="G385" s="15" cm="1">
        <f t="array" ref="G385">Common_InputFunctions.Utility_LookupValueInTableNumber(E385,Table_SourceData_Scope3_Packaging[Product],Table_SourceData_Scope3_Packaging[Emissions intensity])</f>
        <v>0</v>
      </c>
      <c r="H385" s="270" cm="1">
        <f t="array" ref="H385">Scope3_Equations.VEERG_15_8_1_1__1_EmissionsFromPurchasedPackaging(F385,G385)</f>
        <v>0</v>
      </c>
      <c r="I385" s="75"/>
      <c r="J385" s="270" cm="1">
        <f t="array" ref="J385">Scope3_Equations.VEERG_15_8_1_1__1_EmissionsFromPurchasedPackaging(F385,IF(I385,I385,G385))</f>
        <v>0</v>
      </c>
      <c r="K385" s="33"/>
      <c r="L385" s="13"/>
      <c r="M385" s="33"/>
    </row>
    <row r="386" spans="3:41" x14ac:dyDescent="0.25">
      <c r="D386" s="15"/>
      <c r="E386" s="15"/>
      <c r="F386" s="15"/>
      <c r="G386" s="15" cm="1">
        <f t="array" ref="G386">Common_InputFunctions.Utility_LookupValueInTableNumber(E386,Table_SourceData_Scope3_Packaging[Product],Table_SourceData_Scope3_Packaging[Emissions intensity])</f>
        <v>0</v>
      </c>
      <c r="H386" s="270" cm="1">
        <f t="array" ref="H386">Scope3_Equations.VEERG_15_8_1_1__1_EmissionsFromPurchasedPackaging(F386,G386)</f>
        <v>0</v>
      </c>
      <c r="I386" s="75"/>
      <c r="J386" s="270" cm="1">
        <f t="array" ref="J386">Scope3_Equations.VEERG_15_8_1_1__1_EmissionsFromPurchasedPackaging(F386,IF(I386,I386,G386))</f>
        <v>0</v>
      </c>
      <c r="K386" s="33"/>
      <c r="L386" s="13"/>
      <c r="M386" s="33"/>
    </row>
    <row r="387" spans="3:41" x14ac:dyDescent="0.25">
      <c r="D387" s="15"/>
      <c r="E387" s="15"/>
      <c r="F387" s="15"/>
      <c r="G387" s="15" cm="1">
        <f t="array" ref="G387">Common_InputFunctions.Utility_LookupValueInTableNumber(E387,Table_SourceData_Scope3_Packaging[Product],Table_SourceData_Scope3_Packaging[Emissions intensity])</f>
        <v>0</v>
      </c>
      <c r="H387" s="270" cm="1">
        <f t="array" ref="H387">Scope3_Equations.VEERG_15_8_1_1__1_EmissionsFromPurchasedPackaging(F387,G387)</f>
        <v>0</v>
      </c>
      <c r="I387" s="75"/>
      <c r="J387" s="270" cm="1">
        <f t="array" ref="J387">Scope3_Equations.VEERG_15_8_1_1__1_EmissionsFromPurchasedPackaging(F387,IF(I387,I387,G387))</f>
        <v>0</v>
      </c>
      <c r="K387" s="33"/>
      <c r="L387" s="13"/>
      <c r="M387" s="33"/>
    </row>
    <row r="388" spans="3:41" x14ac:dyDescent="0.25">
      <c r="D388" s="15"/>
      <c r="E388" s="15"/>
      <c r="F388" s="15"/>
      <c r="G388" s="15" cm="1">
        <f t="array" ref="G388">Common_InputFunctions.Utility_LookupValueInTableNumber(E388,Table_SourceData_Scope3_Packaging[Product],Table_SourceData_Scope3_Packaging[Emissions intensity])</f>
        <v>0</v>
      </c>
      <c r="H388" s="270" cm="1">
        <f t="array" ref="H388">Scope3_Equations.VEERG_15_8_1_1__1_EmissionsFromPurchasedPackaging(F388,G388)</f>
        <v>0</v>
      </c>
      <c r="I388" s="75"/>
      <c r="J388" s="270" cm="1">
        <f t="array" ref="J388">Scope3_Equations.VEERG_15_8_1_1__1_EmissionsFromPurchasedPackaging(F388,IF(I388,I388,G388))</f>
        <v>0</v>
      </c>
      <c r="K388" s="33"/>
      <c r="L388" s="13"/>
      <c r="M388" s="33"/>
    </row>
    <row r="389" spans="3:41" x14ac:dyDescent="0.25">
      <c r="D389" s="15"/>
      <c r="E389" s="15"/>
      <c r="F389" s="15"/>
      <c r="G389" s="15" cm="1">
        <f t="array" ref="G389">Common_InputFunctions.Utility_LookupValueInTableNumber(E389,Table_SourceData_Scope3_Packaging[Product],Table_SourceData_Scope3_Packaging[Emissions intensity])</f>
        <v>0</v>
      </c>
      <c r="H389" s="270" cm="1">
        <f t="array" ref="H389">Scope3_Equations.VEERG_15_8_1_1__1_EmissionsFromPurchasedPackaging(F389,G389)</f>
        <v>0</v>
      </c>
      <c r="I389" s="75"/>
      <c r="J389" s="270" cm="1">
        <f t="array" ref="J389">Scope3_Equations.VEERG_15_8_1_1__1_EmissionsFromPurchasedPackaging(F389,IF(I389,I389,G389))</f>
        <v>0</v>
      </c>
      <c r="K389" s="33"/>
      <c r="L389" s="13"/>
      <c r="M389" s="33"/>
    </row>
    <row r="390" spans="3:41" x14ac:dyDescent="0.25">
      <c r="D390" s="15"/>
      <c r="E390" s="15"/>
      <c r="F390" s="15"/>
      <c r="G390" s="15" cm="1">
        <f t="array" ref="G390">Common_InputFunctions.Utility_LookupValueInTableNumber(E390,Table_SourceData_Scope3_Packaging[Product],Table_SourceData_Scope3_Packaging[Emissions intensity])</f>
        <v>0</v>
      </c>
      <c r="H390" s="270" cm="1">
        <f t="array" ref="H390">Scope3_Equations.VEERG_15_8_1_1__1_EmissionsFromPurchasedPackaging(F390,G390)</f>
        <v>0</v>
      </c>
      <c r="I390" s="75"/>
      <c r="J390" s="270" cm="1">
        <f t="array" ref="J390">Scope3_Equations.VEERG_15_8_1_1__1_EmissionsFromPurchasedPackaging(F390,IF(I390,I390,G390))</f>
        <v>0</v>
      </c>
      <c r="K390" s="33"/>
      <c r="L390" s="13"/>
      <c r="M390" s="33"/>
    </row>
    <row r="391" spans="3:41" x14ac:dyDescent="0.25">
      <c r="D391" s="15"/>
      <c r="E391" s="15"/>
      <c r="F391" s="15"/>
      <c r="G391" s="15" cm="1">
        <f t="array" ref="G391">Common_InputFunctions.Utility_LookupValueInTableNumber(E391,Table_SourceData_Scope3_Packaging[Product],Table_SourceData_Scope3_Packaging[Emissions intensity])</f>
        <v>0</v>
      </c>
      <c r="H391" s="270" cm="1">
        <f t="array" ref="H391">Scope3_Equations.VEERG_15_8_1_1__1_EmissionsFromPurchasedPackaging(F391,G391)</f>
        <v>0</v>
      </c>
      <c r="I391" s="75"/>
      <c r="J391" s="270" cm="1">
        <f t="array" ref="J391">Scope3_Equations.VEERG_15_8_1_1__1_EmissionsFromPurchasedPackaging(F391,IF(I391,I391,G391))</f>
        <v>0</v>
      </c>
      <c r="K391" s="33"/>
      <c r="L391" s="13"/>
      <c r="M391" s="33"/>
    </row>
    <row r="393" spans="3:41" ht="20.25" x14ac:dyDescent="0.25">
      <c r="D393" s="272" t="s">
        <v>1222</v>
      </c>
      <c r="E393" s="91">
        <f>SUM(H382:H391)</f>
        <v>0</v>
      </c>
      <c r="F393" s="90" t="str">
        <f>$E$170</f>
        <v>t CO2e</v>
      </c>
    </row>
    <row r="394" spans="3:41" ht="20.25" x14ac:dyDescent="0.25">
      <c r="D394" s="272" t="s">
        <v>1225</v>
      </c>
      <c r="E394" s="91">
        <f>SUM(J382:J391)</f>
        <v>0</v>
      </c>
      <c r="F394" s="90" t="str">
        <f>$E$170</f>
        <v>t CO2e</v>
      </c>
    </row>
    <row r="397" spans="3:41" x14ac:dyDescent="0.25">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c r="AE397" s="89"/>
      <c r="AF397" s="89"/>
      <c r="AG397" s="89"/>
      <c r="AH397" s="89"/>
      <c r="AI397" s="89"/>
      <c r="AJ397" s="89"/>
      <c r="AK397" s="89"/>
      <c r="AL397" s="89"/>
      <c r="AM397" s="89"/>
      <c r="AN397" s="89"/>
      <c r="AO397" s="89"/>
    </row>
    <row r="398" spans="3:41" ht="23.25" x14ac:dyDescent="0.25">
      <c r="D398" s="2" t="str" cm="1">
        <f t="array" ref="D398">Scope3_Equations.VEERG_15_9_1_1__1_EmissionsFromPurchasedGrowMedia_Title()</f>
        <v>Embedded emissions from use of grow media products</v>
      </c>
    </row>
    <row r="399" spans="3:41" x14ac:dyDescent="0.25">
      <c r="D399" s="17" t="str" cm="1">
        <f t="array" ref="D399">Scope3_Equations.VEERG_15_9_1_1__1_EmissionsFromPurchasedGrowMedia_Source()</f>
        <v>VEERG 2026: 15.9.1.1, Equation (1)</v>
      </c>
    </row>
    <row r="400" spans="3:41" x14ac:dyDescent="0.25">
      <c r="D400" s="117" t="s">
        <v>343</v>
      </c>
      <c r="E400" s="117" t="str" cm="1">
        <f t="array" aca="1" ref="E400" ca="1">Common_InputFunctions.Utility_DisplayFunctionName(J414)</f>
        <v>=Scope3_Equations.VEERG_15_9_1_1__1_EmissionsFromPurchasedGrowMedia</v>
      </c>
    </row>
    <row r="403" spans="4:14" x14ac:dyDescent="0.25">
      <c r="G403" s="117"/>
    </row>
    <row r="404" spans="4:14" x14ac:dyDescent="0.25">
      <c r="D404" s="76" t="s">
        <v>344</v>
      </c>
      <c r="E404" s="1" t="str" cm="1">
        <f t="array" ref="E404">Scope3_Equations.VEERG_15_9_1_1__1_EmissionsFromPurchasedGrowMedia_Variable()</f>
        <v>E</v>
      </c>
    </row>
    <row r="405" spans="4:14" x14ac:dyDescent="0.25">
      <c r="D405" s="76" t="s">
        <v>118</v>
      </c>
      <c r="E405" s="1" t="str" cm="1">
        <f t="array" ref="E405">Scope3_Equations.VEERG_15_9_1_1__1_EmissionsFromPurchasedGrowMedia_Unit()</f>
        <v>t CO2e</v>
      </c>
    </row>
    <row r="407" spans="4:14" x14ac:dyDescent="0.25">
      <c r="D407" s="119" t="str" cm="1">
        <f t="array" ref="D407:E409">_xlfn.CHOOSECOLS(Scope3_Equations.VEERG_15_9_1_1__1_EmissionsFromPurchasedGrowMedia_Arguments(),1,2)</f>
        <v>Q_g</v>
      </c>
      <c r="E407" s="119" t="str">
        <v>total quantity of grow media type g</v>
      </c>
      <c r="F407" s="119" t="str" cm="1">
        <f t="array" ref="F407:G409">_xlfn.CHOOSECOLS(Scope3_Equations.VEERG_15_9_1_1__1_EmissionsFromPurchasedGrowMedia_Arguments(),3,4)</f>
        <v>kg or m3</v>
      </c>
      <c r="G407" s="268" t="str">
        <v>Input</v>
      </c>
    </row>
    <row r="408" spans="4:14" x14ac:dyDescent="0.25">
      <c r="D408" s="119" t="str">
        <v>EF_g</v>
      </c>
      <c r="E408" s="119" t="str">
        <v>emission factor for grow media type g</v>
      </c>
      <c r="F408" s="119" t="str">
        <v>kg CO2e/kg or kg CO2e/m3</v>
      </c>
      <c r="G408" s="127" t="str">
        <v>Constant</v>
      </c>
    </row>
    <row r="409" spans="4:14" x14ac:dyDescent="0.25">
      <c r="D409" s="119" t="str">
        <v>g</v>
      </c>
      <c r="E409" s="119" t="str">
        <v>grow media type</v>
      </c>
      <c r="F409" s="119" t="str">
        <v/>
      </c>
      <c r="G409" s="268" t="str">
        <v>Input</v>
      </c>
    </row>
    <row r="411" spans="4:14" x14ac:dyDescent="0.25">
      <c r="D411" s="25" t="s">
        <v>1304</v>
      </c>
    </row>
    <row r="413" spans="4:14" x14ac:dyDescent="0.25">
      <c r="D413" s="81" t="s">
        <v>1315</v>
      </c>
      <c r="E413" s="81" t="s">
        <v>1115</v>
      </c>
      <c r="F413" s="81" t="s">
        <v>877</v>
      </c>
      <c r="G413" s="123" t="s">
        <v>1305</v>
      </c>
      <c r="H413" s="123" t="s">
        <v>1306</v>
      </c>
      <c r="I413" s="81" t="s">
        <v>1307</v>
      </c>
      <c r="J413" s="123" t="s">
        <v>1308</v>
      </c>
      <c r="K413" s="123" t="s">
        <v>1309</v>
      </c>
      <c r="L413" s="81" t="s">
        <v>1226</v>
      </c>
      <c r="M413" s="81" t="s">
        <v>1227</v>
      </c>
      <c r="N413" s="81" t="s">
        <v>1228</v>
      </c>
    </row>
    <row r="414" spans="4:14" x14ac:dyDescent="0.25">
      <c r="D414" s="15"/>
      <c r="E414" s="15"/>
      <c r="F414" s="15"/>
      <c r="G414" s="15" t="s">
        <v>1310</v>
      </c>
      <c r="H414" s="15" t="s">
        <v>1310</v>
      </c>
      <c r="I414" s="75">
        <v>4</v>
      </c>
      <c r="J414" s="270" cm="1">
        <f t="array" ref="J414">Scope3_Equations.VEERG_15_9_1_1__1_EmissionsFromPurchasedGrowMedia(E414,I414)</f>
        <v>0</v>
      </c>
      <c r="K414" s="15" t="str">
        <f>"t CO2e / " &amp; F414</f>
        <v xml:space="preserve">t CO2e / </v>
      </c>
      <c r="L414" s="33"/>
      <c r="M414" s="13"/>
      <c r="N414" s="33"/>
    </row>
    <row r="415" spans="4:14" x14ac:dyDescent="0.25">
      <c r="D415" s="15"/>
      <c r="E415" s="15"/>
      <c r="F415" s="15"/>
      <c r="G415" s="15" t="s">
        <v>1310</v>
      </c>
      <c r="H415" s="15" t="s">
        <v>1310</v>
      </c>
      <c r="I415" s="75">
        <v>2</v>
      </c>
      <c r="J415" s="270" cm="1">
        <f t="array" ref="J415">Scope3_Equations.VEERG_15_9_1_1__1_EmissionsFromPurchasedGrowMedia(E415,I415)</f>
        <v>0</v>
      </c>
      <c r="K415" s="15" t="str">
        <f t="shared" ref="K415:K423" si="2">"t CO2e / " &amp; F415</f>
        <v xml:space="preserve">t CO2e / </v>
      </c>
      <c r="L415" s="33"/>
      <c r="M415" s="13"/>
      <c r="N415" s="33"/>
    </row>
    <row r="416" spans="4:14" x14ac:dyDescent="0.25">
      <c r="D416" s="15"/>
      <c r="E416" s="15"/>
      <c r="F416" s="15"/>
      <c r="G416" s="15" t="s">
        <v>1310</v>
      </c>
      <c r="H416" s="15" t="s">
        <v>1310</v>
      </c>
      <c r="I416" s="75"/>
      <c r="J416" s="270" cm="1">
        <f t="array" ref="J416">Scope3_Equations.VEERG_15_9_1_1__1_EmissionsFromPurchasedGrowMedia(E416,I416)</f>
        <v>0</v>
      </c>
      <c r="K416" s="15" t="str">
        <f t="shared" si="2"/>
        <v xml:space="preserve">t CO2e / </v>
      </c>
      <c r="L416" s="33"/>
      <c r="M416" s="13"/>
      <c r="N416" s="33"/>
    </row>
    <row r="417" spans="3:41" x14ac:dyDescent="0.25">
      <c r="D417" s="15"/>
      <c r="E417" s="15"/>
      <c r="F417" s="15"/>
      <c r="G417" s="15" t="s">
        <v>1310</v>
      </c>
      <c r="H417" s="15" t="s">
        <v>1310</v>
      </c>
      <c r="I417" s="75"/>
      <c r="J417" s="270" cm="1">
        <f t="array" ref="J417">Scope3_Equations.VEERG_15_9_1_1__1_EmissionsFromPurchasedGrowMedia(E417,I417)</f>
        <v>0</v>
      </c>
      <c r="K417" s="15" t="str">
        <f t="shared" si="2"/>
        <v xml:space="preserve">t CO2e / </v>
      </c>
      <c r="L417" s="33"/>
      <c r="M417" s="13"/>
      <c r="N417" s="33"/>
    </row>
    <row r="418" spans="3:41" x14ac:dyDescent="0.25">
      <c r="D418" s="15"/>
      <c r="E418" s="15"/>
      <c r="F418" s="15"/>
      <c r="G418" s="15" t="s">
        <v>1310</v>
      </c>
      <c r="H418" s="15" t="s">
        <v>1310</v>
      </c>
      <c r="I418" s="75"/>
      <c r="J418" s="270" cm="1">
        <f t="array" ref="J418">Scope3_Equations.VEERG_15_9_1_1__1_EmissionsFromPurchasedGrowMedia(E418,I418)</f>
        <v>0</v>
      </c>
      <c r="K418" s="15" t="str">
        <f t="shared" si="2"/>
        <v xml:space="preserve">t CO2e / </v>
      </c>
      <c r="L418" s="33"/>
      <c r="M418" s="13"/>
      <c r="N418" s="33"/>
    </row>
    <row r="419" spans="3:41" x14ac:dyDescent="0.25">
      <c r="D419" s="15"/>
      <c r="E419" s="15"/>
      <c r="F419" s="15"/>
      <c r="G419" s="15" t="s">
        <v>1310</v>
      </c>
      <c r="H419" s="15" t="s">
        <v>1310</v>
      </c>
      <c r="I419" s="75"/>
      <c r="J419" s="270" cm="1">
        <f t="array" ref="J419">Scope3_Equations.VEERG_15_9_1_1__1_EmissionsFromPurchasedGrowMedia(E419,I419)</f>
        <v>0</v>
      </c>
      <c r="K419" s="15" t="str">
        <f t="shared" si="2"/>
        <v xml:space="preserve">t CO2e / </v>
      </c>
      <c r="L419" s="33"/>
      <c r="M419" s="13"/>
      <c r="N419" s="33"/>
    </row>
    <row r="420" spans="3:41" x14ac:dyDescent="0.25">
      <c r="D420" s="15"/>
      <c r="E420" s="15"/>
      <c r="F420" s="15"/>
      <c r="G420" s="15" t="s">
        <v>1310</v>
      </c>
      <c r="H420" s="15" t="s">
        <v>1310</v>
      </c>
      <c r="I420" s="75"/>
      <c r="J420" s="270" cm="1">
        <f t="array" ref="J420">Scope3_Equations.VEERG_15_9_1_1__1_EmissionsFromPurchasedGrowMedia(E420,I420)</f>
        <v>0</v>
      </c>
      <c r="K420" s="15" t="str">
        <f t="shared" si="2"/>
        <v xml:space="preserve">t CO2e / </v>
      </c>
      <c r="L420" s="33"/>
      <c r="M420" s="13"/>
      <c r="N420" s="33"/>
    </row>
    <row r="421" spans="3:41" x14ac:dyDescent="0.25">
      <c r="D421" s="15"/>
      <c r="E421" s="15"/>
      <c r="F421" s="15"/>
      <c r="G421" s="15" t="s">
        <v>1310</v>
      </c>
      <c r="H421" s="15" t="s">
        <v>1310</v>
      </c>
      <c r="I421" s="75"/>
      <c r="J421" s="270" cm="1">
        <f t="array" ref="J421">Scope3_Equations.VEERG_15_9_1_1__1_EmissionsFromPurchasedGrowMedia(E421,I421)</f>
        <v>0</v>
      </c>
      <c r="K421" s="15" t="str">
        <f t="shared" si="2"/>
        <v xml:space="preserve">t CO2e / </v>
      </c>
      <c r="L421" s="33"/>
      <c r="M421" s="13"/>
      <c r="N421" s="33"/>
    </row>
    <row r="422" spans="3:41" x14ac:dyDescent="0.25">
      <c r="D422" s="15"/>
      <c r="E422" s="15"/>
      <c r="F422" s="15"/>
      <c r="G422" s="15" t="s">
        <v>1310</v>
      </c>
      <c r="H422" s="15" t="s">
        <v>1310</v>
      </c>
      <c r="I422" s="75"/>
      <c r="J422" s="270" cm="1">
        <f t="array" ref="J422">Scope3_Equations.VEERG_15_9_1_1__1_EmissionsFromPurchasedGrowMedia(E422,I422)</f>
        <v>0</v>
      </c>
      <c r="K422" s="15" t="str">
        <f t="shared" si="2"/>
        <v xml:space="preserve">t CO2e / </v>
      </c>
      <c r="L422" s="33"/>
      <c r="M422" s="13"/>
      <c r="N422" s="33"/>
    </row>
    <row r="423" spans="3:41" x14ac:dyDescent="0.25">
      <c r="D423" s="15"/>
      <c r="E423" s="15"/>
      <c r="F423" s="15"/>
      <c r="G423" s="15" t="s">
        <v>1310</v>
      </c>
      <c r="H423" s="15" t="s">
        <v>1310</v>
      </c>
      <c r="I423" s="75"/>
      <c r="J423" s="270" cm="1">
        <f t="array" ref="J423">Scope3_Equations.VEERG_15_9_1_1__1_EmissionsFromPurchasedGrowMedia(E423,I423)</f>
        <v>0</v>
      </c>
      <c r="K423" s="15" t="str">
        <f t="shared" si="2"/>
        <v xml:space="preserve">t CO2e / </v>
      </c>
      <c r="L423" s="33"/>
      <c r="M423" s="13"/>
      <c r="N423" s="33"/>
    </row>
    <row r="425" spans="3:41" ht="20.25" x14ac:dyDescent="0.25">
      <c r="D425" s="272" t="s">
        <v>1222</v>
      </c>
      <c r="E425" s="91" t="s">
        <v>1310</v>
      </c>
      <c r="F425" s="90" t="str">
        <f>$E$170</f>
        <v>t CO2e</v>
      </c>
    </row>
    <row r="426" spans="3:41" ht="20.25" x14ac:dyDescent="0.25">
      <c r="D426" s="272" t="s">
        <v>1225</v>
      </c>
      <c r="E426" s="91">
        <f>SUM(J414:J423)</f>
        <v>0</v>
      </c>
      <c r="F426" s="90" t="str">
        <f>$E$170</f>
        <v>t CO2e</v>
      </c>
    </row>
    <row r="429" spans="3:41" x14ac:dyDescent="0.25">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c r="AE429" s="89"/>
      <c r="AF429" s="89"/>
      <c r="AG429" s="89"/>
      <c r="AH429" s="89"/>
      <c r="AI429" s="89"/>
      <c r="AJ429" s="89"/>
      <c r="AK429" s="89"/>
      <c r="AL429" s="89"/>
      <c r="AM429" s="89"/>
      <c r="AN429" s="89"/>
      <c r="AO429" s="89"/>
    </row>
    <row r="430" spans="3:41" ht="23.25" x14ac:dyDescent="0.25">
      <c r="D430" s="2" t="str" cm="1">
        <f t="array" ref="D430">Scope3_Equations.VEERG_15_10_1_1__1_OtherPurchasedGoodsAndServices_Title()</f>
        <v>Other purchased goods and services generic estimate</v>
      </c>
    </row>
    <row r="431" spans="3:41" x14ac:dyDescent="0.25">
      <c r="D431" s="17" t="str" cm="1">
        <f t="array" ref="D431">Scope3_Equations.VEERG_15_10_1_1__1_OtherPurchasedGoodsAndServices_Source()</f>
        <v>VEERG 2026: 15.10, generic placeholder equation</v>
      </c>
    </row>
    <row r="432" spans="3:41" x14ac:dyDescent="0.25">
      <c r="D432" s="25" t="s">
        <v>1316</v>
      </c>
    </row>
    <row r="433" spans="4:13" x14ac:dyDescent="0.25">
      <c r="D433" s="117" t="s">
        <v>343</v>
      </c>
      <c r="E433" s="117" t="str" cm="1">
        <f t="array" aca="1" ref="E433" ca="1">Common_InputFunctions.Utility_DisplayFunctionName(H445)</f>
        <v>=Scope3_Equations.VEERG_15_10_1_1__1_OtherPurchasedGoodsAndServices</v>
      </c>
    </row>
    <row r="436" spans="4:13" x14ac:dyDescent="0.25">
      <c r="D436" s="76" t="s">
        <v>344</v>
      </c>
      <c r="E436" s="1" t="str" cm="1">
        <f t="array" ref="E436">Scope3_Equations.VEERG_15_10_1_1__1_OtherPurchasedGoodsAndServices_Variable()</f>
        <v>emissions</v>
      </c>
    </row>
    <row r="437" spans="4:13" x14ac:dyDescent="0.25">
      <c r="D437" s="76" t="s">
        <v>118</v>
      </c>
      <c r="E437" s="9" t="str" cm="1">
        <f t="array" ref="E437">Scope3_Equations.VEERG_15_10_1_1__1_OtherPurchasedGoodsAndServices_Unit()</f>
        <v>t CO2e</v>
      </c>
    </row>
    <row r="439" spans="4:13" x14ac:dyDescent="0.25">
      <c r="D439" s="119" t="str" cm="1">
        <f t="array" ref="D439:E440">_xlfn.CHOOSECOLS(Scope3_Equations.VEERG_15_10_1_1__1_OtherPurchasedGoodsAndServices_Arguments(),1,2)</f>
        <v>activity_data</v>
      </c>
      <c r="E439" s="124" t="str">
        <v>measured activity for the purchased good or service</v>
      </c>
      <c r="F439" s="125"/>
      <c r="G439" s="119" t="str" cm="1">
        <f t="array" ref="G439:H440">_xlfn.CHOOSECOLS(Scope3_Equations.VEERG_15_10_1_1__1_OtherPurchasedGoodsAndServices_Arguments(),3,4)</f>
        <v>varies</v>
      </c>
      <c r="H439" s="268" t="str">
        <v>Input</v>
      </c>
    </row>
    <row r="440" spans="4:13" x14ac:dyDescent="0.25">
      <c r="D440" s="119" t="str">
        <v>emission_factor</v>
      </c>
      <c r="E440" s="124" t="str">
        <v>lifecycle emissions per unit of activity</v>
      </c>
      <c r="F440" s="125"/>
      <c r="G440" s="119" t="str">
        <v>varies</v>
      </c>
      <c r="H440" s="127" t="str">
        <v>Constant</v>
      </c>
    </row>
    <row r="442" spans="4:13" ht="18.75" x14ac:dyDescent="0.25">
      <c r="D442" s="260" t="s">
        <v>1317</v>
      </c>
    </row>
    <row r="444" spans="4:13" x14ac:dyDescent="0.25">
      <c r="D444" s="81" t="s">
        <v>1216</v>
      </c>
      <c r="E444" s="269" t="s">
        <v>1318</v>
      </c>
      <c r="F444" s="269" t="s">
        <v>1319</v>
      </c>
      <c r="G444" s="123" t="s">
        <v>120</v>
      </c>
      <c r="H444" s="123" t="s">
        <v>1222</v>
      </c>
      <c r="I444" s="81" t="s">
        <v>121</v>
      </c>
      <c r="J444" s="123" t="s">
        <v>1225</v>
      </c>
      <c r="K444" s="81" t="s">
        <v>1226</v>
      </c>
      <c r="L444" s="81" t="s">
        <v>1227</v>
      </c>
      <c r="M444" s="81" t="s">
        <v>1228</v>
      </c>
    </row>
    <row r="445" spans="4:13" x14ac:dyDescent="0.25">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70" cm="1">
        <f t="array" ref="H445">Scope3_Equations.VEERG_15_10_1_1__1_OtherPurchasedGoodsAndServices(F445,G445*10^-3)</f>
        <v>9.0700000000000003E-2</v>
      </c>
      <c r="I445" s="75">
        <v>1.3</v>
      </c>
      <c r="J445" s="270" cm="1">
        <f t="array" ref="J445">Scope3_Equations.VEERG_15_10_1_1__1_OtherPurchasedGoodsAndServices(F445,IF(I445,I445,G445)*10^-3)</f>
        <v>0.13</v>
      </c>
      <c r="K445" s="33"/>
      <c r="L445" s="13"/>
      <c r="M445" s="33"/>
    </row>
    <row r="446" spans="4:13" x14ac:dyDescent="0.25">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70" cm="1">
        <f t="array" ref="H446">Scope3_Equations.VEERG_15_10_1_1__1_OtherPurchasedGoodsAndServices(F446,G446*10^-3)</f>
        <v>7.22E-2</v>
      </c>
      <c r="I446" s="75">
        <v>8</v>
      </c>
      <c r="J446" s="270" cm="1">
        <f t="array" ref="J446">Scope3_Equations.VEERG_15_10_1_1__1_OtherPurchasedGoodsAndServices(F446,IF(I446,I446,G446)*10^-3)</f>
        <v>0.8</v>
      </c>
      <c r="K446" s="33"/>
      <c r="L446" s="13"/>
      <c r="M446" s="33"/>
    </row>
    <row r="447" spans="4:13" x14ac:dyDescent="0.25">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70" cm="1">
        <f t="array" ref="H447">Scope3_Equations.VEERG_15_10_1_1__1_OtherPurchasedGoodsAndServices(F447,G447*10^-3)</f>
        <v>8.0399999999999999E-2</v>
      </c>
      <c r="I447" s="75">
        <v>4</v>
      </c>
      <c r="J447" s="270" cm="1">
        <f t="array" ref="J447">Scope3_Equations.VEERG_15_10_1_1__1_OtherPurchasedGoodsAndServices(F447,IF(I447,I447,G447)*10^-3)</f>
        <v>0.4</v>
      </c>
      <c r="K447" s="33"/>
      <c r="L447" s="13"/>
      <c r="M447" s="33"/>
    </row>
    <row r="448" spans="4:13" x14ac:dyDescent="0.25">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70" cm="1">
        <f t="array" ref="H448">Scope3_Equations.VEERG_15_10_1_1__1_OtherPurchasedGoodsAndServices(F448,G448*10^-3)</f>
        <v>8.0399999999999999E-2</v>
      </c>
      <c r="I448" s="75">
        <v>3</v>
      </c>
      <c r="J448" s="270" cm="1">
        <f t="array" ref="J448">Scope3_Equations.VEERG_15_10_1_1__1_OtherPurchasedGoodsAndServices(F448,IF(I448,I448,G448)*10^-3)</f>
        <v>0.3</v>
      </c>
      <c r="K448" s="33"/>
      <c r="L448" s="13"/>
      <c r="M448" s="33"/>
    </row>
    <row r="449" spans="4:13" x14ac:dyDescent="0.25">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70" cm="1">
        <f t="array" ref="H449">Scope3_Equations.VEERG_15_10_1_1__1_OtherPurchasedGoodsAndServices(F449,G449*10^-3)</f>
        <v>9.0700000000000003E-2</v>
      </c>
      <c r="I449" s="75">
        <v>6</v>
      </c>
      <c r="J449" s="270" cm="1">
        <f t="array" ref="J449">Scope3_Equations.VEERG_15_10_1_1__1_OtherPurchasedGoodsAndServices(F449,IF(I449,I449,G449)*10^-3)</f>
        <v>0.6</v>
      </c>
      <c r="K449" s="33"/>
      <c r="L449" s="13"/>
      <c r="M449" s="33"/>
    </row>
    <row r="450" spans="4:13" x14ac:dyDescent="0.25">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70" cm="1">
        <f t="array" ref="H450">Scope3_Equations.VEERG_15_10_1_1__1_OtherPurchasedGoodsAndServices(F450,G450*10^-3)</f>
        <v>9.0700000000000003E-2</v>
      </c>
      <c r="I450" s="75">
        <v>5</v>
      </c>
      <c r="J450" s="270" cm="1">
        <f t="array" ref="J450">Scope3_Equations.VEERG_15_10_1_1__1_OtherPurchasedGoodsAndServices(F450,IF(I450,I450,G450)*10^-3)</f>
        <v>0.5</v>
      </c>
      <c r="K450" s="33"/>
      <c r="L450" s="13"/>
      <c r="M450" s="33"/>
    </row>
    <row r="451" spans="4:13" x14ac:dyDescent="0.25">
      <c r="D451" s="15">
        <v>0</v>
      </c>
      <c r="E451" s="15">
        <v>0</v>
      </c>
      <c r="F451" s="15">
        <v>0</v>
      </c>
      <c r="G451" s="15" cm="1">
        <f t="array" ref="G451">Common_InputFunctions.Utility_LookupValueInTableNumber(E451,Table_SourceData_Scope3_ChemicalsCleaning[Product],Table_SourceData_Scope3_ChemicalsCleaning[Emissions intensity])</f>
        <v>0</v>
      </c>
      <c r="H451" s="270" cm="1">
        <f t="array" ref="H451">Scope3_Equations.VEERG_15_10_1_1__1_OtherPurchasedGoodsAndServices(F451,G451*10^-3)</f>
        <v>0</v>
      </c>
      <c r="I451" s="75"/>
      <c r="J451" s="270" cm="1">
        <f t="array" ref="J451">Scope3_Equations.VEERG_15_10_1_1__1_OtherPurchasedGoodsAndServices(F451,IF(I451,I451,G451)*10^-3)</f>
        <v>0</v>
      </c>
      <c r="K451" s="33"/>
      <c r="L451" s="13"/>
      <c r="M451" s="33"/>
    </row>
    <row r="452" spans="4:13" x14ac:dyDescent="0.25">
      <c r="D452" s="15">
        <v>0</v>
      </c>
      <c r="E452" s="15">
        <v>0</v>
      </c>
      <c r="F452" s="15">
        <v>0</v>
      </c>
      <c r="G452" s="15" cm="1">
        <f t="array" ref="G452">Common_InputFunctions.Utility_LookupValueInTableNumber(E452,Table_SourceData_Scope3_ChemicalsCleaning[Product],Table_SourceData_Scope3_ChemicalsCleaning[Emissions intensity])</f>
        <v>0</v>
      </c>
      <c r="H452" s="270" cm="1">
        <f t="array" ref="H452">Scope3_Equations.VEERG_15_10_1_1__1_OtherPurchasedGoodsAndServices(F452,G452*10^-3)</f>
        <v>0</v>
      </c>
      <c r="I452" s="75"/>
      <c r="J452" s="270" cm="1">
        <f t="array" ref="J452">Scope3_Equations.VEERG_15_10_1_1__1_OtherPurchasedGoodsAndServices(F452,IF(I452,I452,G452)*10^-3)</f>
        <v>0</v>
      </c>
      <c r="K452" s="33"/>
      <c r="L452" s="13"/>
      <c r="M452" s="33"/>
    </row>
    <row r="453" spans="4:13" x14ac:dyDescent="0.25">
      <c r="D453" s="15">
        <v>0</v>
      </c>
      <c r="E453" s="15">
        <v>0</v>
      </c>
      <c r="F453" s="15">
        <v>0</v>
      </c>
      <c r="G453" s="15" cm="1">
        <f t="array" ref="G453">Common_InputFunctions.Utility_LookupValueInTableNumber(E453,Table_SourceData_Scope3_ChemicalsCleaning[Product],Table_SourceData_Scope3_ChemicalsCleaning[Emissions intensity])</f>
        <v>0</v>
      </c>
      <c r="H453" s="270" cm="1">
        <f t="array" ref="H453">Scope3_Equations.VEERG_15_10_1_1__1_OtherPurchasedGoodsAndServices(F453,G453*10^-3)</f>
        <v>0</v>
      </c>
      <c r="I453" s="75"/>
      <c r="J453" s="270" cm="1">
        <f t="array" ref="J453">Scope3_Equations.VEERG_15_10_1_1__1_OtherPurchasedGoodsAndServices(F453,IF(I453,I453,G453)*10^-3)</f>
        <v>0</v>
      </c>
      <c r="K453" s="33"/>
      <c r="L453" s="13"/>
      <c r="M453" s="33"/>
    </row>
    <row r="454" spans="4:13" x14ac:dyDescent="0.25">
      <c r="D454" s="15">
        <v>0</v>
      </c>
      <c r="E454" s="15">
        <v>0</v>
      </c>
      <c r="F454" s="15">
        <v>0</v>
      </c>
      <c r="G454" s="15" cm="1">
        <f t="array" ref="G454">Common_InputFunctions.Utility_LookupValueInTableNumber(E454,Table_SourceData_Scope3_ChemicalsCleaning[Product],Table_SourceData_Scope3_ChemicalsCleaning[Emissions intensity])</f>
        <v>0</v>
      </c>
      <c r="H454" s="270" cm="1">
        <f t="array" ref="H454">Scope3_Equations.VEERG_15_10_1_1__1_OtherPurchasedGoodsAndServices(F454,G454*10^-3)</f>
        <v>0</v>
      </c>
      <c r="I454" s="75"/>
      <c r="J454" s="270" cm="1">
        <f t="array" ref="J454">Scope3_Equations.VEERG_15_10_1_1__1_OtherPurchasedGoodsAndServices(F454,IF(I454,I454,G454)*10^-3)</f>
        <v>0</v>
      </c>
      <c r="K454" s="33"/>
      <c r="L454" s="13"/>
      <c r="M454" s="33"/>
    </row>
    <row r="456" spans="4:13" ht="20.25" x14ac:dyDescent="0.25">
      <c r="D456" s="272" t="s">
        <v>1222</v>
      </c>
      <c r="E456" s="91">
        <f>SUM(H445:H454)</f>
        <v>0.50509999999999999</v>
      </c>
      <c r="F456" s="90" t="str">
        <f>$E$170</f>
        <v>t CO2e</v>
      </c>
    </row>
    <row r="457" spans="4:13" ht="20.25" x14ac:dyDescent="0.25">
      <c r="D457" s="272" t="s">
        <v>1225</v>
      </c>
      <c r="E457" s="91">
        <f>SUM(J445:J454)</f>
        <v>2.73</v>
      </c>
      <c r="F457" s="90" t="str">
        <f>$E$170</f>
        <v>t CO2e</v>
      </c>
    </row>
    <row r="460" spans="4:13" ht="18.75" x14ac:dyDescent="0.25">
      <c r="D460" s="260" t="s">
        <v>1320</v>
      </c>
    </row>
    <row r="462" spans="4:13" x14ac:dyDescent="0.25">
      <c r="D462" s="81" t="s">
        <v>1216</v>
      </c>
      <c r="E462" s="269" t="s">
        <v>1318</v>
      </c>
      <c r="F462" s="269" t="s">
        <v>1180</v>
      </c>
      <c r="G462" s="123" t="s">
        <v>1321</v>
      </c>
      <c r="H462" s="123" t="s">
        <v>1222</v>
      </c>
      <c r="I462" s="81" t="s">
        <v>1322</v>
      </c>
      <c r="J462" s="123" t="s">
        <v>1225</v>
      </c>
      <c r="K462" s="81" t="s">
        <v>1226</v>
      </c>
      <c r="L462" s="81" t="s">
        <v>1227</v>
      </c>
      <c r="M462" s="81" t="s">
        <v>1228</v>
      </c>
    </row>
    <row r="463" spans="4:13" x14ac:dyDescent="0.25">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70" cm="1">
        <f t="array" ref="H463">Scope3_Equations.VEERG_15_10_1_1__1_OtherPurchasedGoodsAndServices(F463,G463*10^-3)</f>
        <v>5.47E-3</v>
      </c>
      <c r="I463" s="75">
        <v>0.05</v>
      </c>
      <c r="J463" s="270" cm="1">
        <f t="array" ref="J463">Scope3_Equations.VEERG_15_10_1_1__1_OtherPurchasedGoodsAndServices(F463,IF(I463,I463,G463)*10^-3)</f>
        <v>5.0000000000000001E-3</v>
      </c>
      <c r="K463" s="33"/>
      <c r="L463" s="13"/>
      <c r="M463" s="33"/>
    </row>
    <row r="464" spans="4:13" x14ac:dyDescent="0.25">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70" cm="1">
        <f t="array" ref="H464">Scope3_Equations.VEERG_15_10_1_1__1_OtherPurchasedGoodsAndServices(F464,G464*10^-3)</f>
        <v>1.42E-3</v>
      </c>
      <c r="I464" s="75">
        <v>0.01</v>
      </c>
      <c r="J464" s="270" cm="1">
        <f t="array" ref="J464">Scope3_Equations.VEERG_15_10_1_1__1_OtherPurchasedGoodsAndServices(F464,IF(I464,I464,G464)*10^-3)</f>
        <v>1E-3</v>
      </c>
      <c r="K464" s="33"/>
      <c r="L464" s="13"/>
      <c r="M464" s="33"/>
    </row>
    <row r="465" spans="4:13" x14ac:dyDescent="0.25">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70" cm="1">
        <f t="array" ref="H465">Scope3_Equations.VEERG_15_10_1_1__1_OtherPurchasedGoodsAndServices(F465,G465*10^-3)</f>
        <v>1.4300000000000001E-3</v>
      </c>
      <c r="I465" s="75">
        <v>0.01</v>
      </c>
      <c r="J465" s="270" cm="1">
        <f t="array" ref="J465">Scope3_Equations.VEERG_15_10_1_1__1_OtherPurchasedGoodsAndServices(F465,IF(I465,I465,G465)*10^-3)</f>
        <v>1E-3</v>
      </c>
      <c r="K465" s="33"/>
      <c r="L465" s="13"/>
      <c r="M465" s="33"/>
    </row>
    <row r="466" spans="4:13" x14ac:dyDescent="0.25">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70" cm="1">
        <f t="array" ref="H466">Scope3_Equations.VEERG_15_10_1_1__1_OtherPurchasedGoodsAndServices(F466,G466*10^-3)</f>
        <v>4.26E-4</v>
      </c>
      <c r="I466" s="75">
        <v>4.0000000000000001E-3</v>
      </c>
      <c r="J466" s="270" cm="1">
        <f t="array" ref="J466">Scope3_Equations.VEERG_15_10_1_1__1_OtherPurchasedGoodsAndServices(F466,IF(I466,I466,G466)*10^-3)</f>
        <v>3.9999999999999996E-4</v>
      </c>
      <c r="K466" s="33"/>
      <c r="L466" s="13"/>
      <c r="M466" s="33"/>
    </row>
    <row r="467" spans="4:13" x14ac:dyDescent="0.25">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70" cm="1">
        <f t="array" ref="H467">Scope3_Equations.VEERG_15_10_1_1__1_OtherPurchasedGoodsAndServices(F467,G467*10^-3)</f>
        <v>5.47E-3</v>
      </c>
      <c r="I467" s="75">
        <v>0.05</v>
      </c>
      <c r="J467" s="270" cm="1">
        <f t="array" ref="J467">Scope3_Equations.VEERG_15_10_1_1__1_OtherPurchasedGoodsAndServices(F467,IF(I467,I467,G467)*10^-3)</f>
        <v>5.0000000000000001E-3</v>
      </c>
      <c r="K467" s="33"/>
      <c r="L467" s="13"/>
      <c r="M467" s="33"/>
    </row>
    <row r="468" spans="4:13" x14ac:dyDescent="0.25">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70" cm="1">
        <f t="array" ref="H468">Scope3_Equations.VEERG_15_10_1_1__1_OtherPurchasedGoodsAndServices(F468,G468*10^-3)</f>
        <v>1.42E-3</v>
      </c>
      <c r="I468" s="75">
        <v>0.01</v>
      </c>
      <c r="J468" s="270" cm="1">
        <f t="array" ref="J468">Scope3_Equations.VEERG_15_10_1_1__1_OtherPurchasedGoodsAndServices(F468,IF(I468,I468,G468)*10^-3)</f>
        <v>1E-3</v>
      </c>
      <c r="K468" s="33"/>
      <c r="L468" s="13"/>
      <c r="M468" s="33"/>
    </row>
    <row r="469" spans="4:13" x14ac:dyDescent="0.25">
      <c r="D469" s="15">
        <v>0</v>
      </c>
      <c r="E469" s="15">
        <v>0</v>
      </c>
      <c r="F469" s="15">
        <v>0</v>
      </c>
      <c r="G469" s="15" cm="1">
        <f t="array" ref="G469">Common_InputFunctions.Utility_LookupValueInTableNumber(E469,Table_SourceData_Scope3_ChemicalsPharmacy[Product],Table_SourceData_Scope3_ChemicalsPharmacy[Emissions intensity])</f>
        <v>0</v>
      </c>
      <c r="H469" s="270" cm="1">
        <f t="array" ref="H469">Scope3_Equations.VEERG_15_10_1_1__1_OtherPurchasedGoodsAndServices(F469,G469*10^-3)</f>
        <v>0</v>
      </c>
      <c r="I469" s="75"/>
      <c r="J469" s="270" cm="1">
        <f t="array" ref="J469">Scope3_Equations.VEERG_15_10_1_1__1_OtherPurchasedGoodsAndServices(F469,IF(I469,I469,G469)*10^-3)</f>
        <v>0</v>
      </c>
      <c r="K469" s="33"/>
      <c r="L469" s="13"/>
      <c r="M469" s="33"/>
    </row>
    <row r="470" spans="4:13" x14ac:dyDescent="0.25">
      <c r="D470" s="15">
        <v>0</v>
      </c>
      <c r="E470" s="15">
        <v>0</v>
      </c>
      <c r="F470" s="15">
        <v>0</v>
      </c>
      <c r="G470" s="15" cm="1">
        <f t="array" ref="G470">Common_InputFunctions.Utility_LookupValueInTableNumber(E470,Table_SourceData_Scope3_ChemicalsPharmacy[Product],Table_SourceData_Scope3_ChemicalsPharmacy[Emissions intensity])</f>
        <v>0</v>
      </c>
      <c r="H470" s="270" cm="1">
        <f t="array" ref="H470">Scope3_Equations.VEERG_15_10_1_1__1_OtherPurchasedGoodsAndServices(F470,G470*10^-3)</f>
        <v>0</v>
      </c>
      <c r="I470" s="75"/>
      <c r="J470" s="270" cm="1">
        <f t="array" ref="J470">Scope3_Equations.VEERG_15_10_1_1__1_OtherPurchasedGoodsAndServices(F470,IF(I470,I470,G470)*10^-3)</f>
        <v>0</v>
      </c>
      <c r="K470" s="33"/>
      <c r="L470" s="13"/>
      <c r="M470" s="33"/>
    </row>
    <row r="471" spans="4:13" x14ac:dyDescent="0.25">
      <c r="D471" s="15">
        <v>0</v>
      </c>
      <c r="E471" s="15">
        <v>0</v>
      </c>
      <c r="F471" s="15">
        <v>0</v>
      </c>
      <c r="G471" s="15" cm="1">
        <f t="array" ref="G471">Common_InputFunctions.Utility_LookupValueInTableNumber(E471,Table_SourceData_Scope3_ChemicalsPharmacy[Product],Table_SourceData_Scope3_ChemicalsPharmacy[Emissions intensity])</f>
        <v>0</v>
      </c>
      <c r="H471" s="270" cm="1">
        <f t="array" ref="H471">Scope3_Equations.VEERG_15_10_1_1__1_OtherPurchasedGoodsAndServices(F471,G471*10^-3)</f>
        <v>0</v>
      </c>
      <c r="I471" s="75"/>
      <c r="J471" s="270" cm="1">
        <f t="array" ref="J471">Scope3_Equations.VEERG_15_10_1_1__1_OtherPurchasedGoodsAndServices(F471,IF(I471,I471,G471)*10^-3)</f>
        <v>0</v>
      </c>
      <c r="K471" s="33"/>
      <c r="L471" s="13"/>
      <c r="M471" s="33"/>
    </row>
    <row r="472" spans="4:13" x14ac:dyDescent="0.25">
      <c r="D472" s="15">
        <v>0</v>
      </c>
      <c r="E472" s="15">
        <v>0</v>
      </c>
      <c r="F472" s="15">
        <v>0</v>
      </c>
      <c r="G472" s="15" cm="1">
        <f t="array" ref="G472">Common_InputFunctions.Utility_LookupValueInTableNumber(E472,Table_SourceData_Scope3_ChemicalsPharmacy[Product],Table_SourceData_Scope3_ChemicalsPharmacy[Emissions intensity])</f>
        <v>0</v>
      </c>
      <c r="H472" s="270" cm="1">
        <f t="array" ref="H472">Scope3_Equations.VEERG_15_10_1_1__1_OtherPurchasedGoodsAndServices(F472,G472*10^-3)</f>
        <v>0</v>
      </c>
      <c r="I472" s="75"/>
      <c r="J472" s="270" cm="1">
        <f t="array" ref="J472">Scope3_Equations.VEERG_15_10_1_1__1_OtherPurchasedGoodsAndServices(F472,IF(I472,I472,G472)*10^-3)</f>
        <v>0</v>
      </c>
      <c r="K472" s="33"/>
      <c r="L472" s="13"/>
      <c r="M472" s="33"/>
    </row>
    <row r="474" spans="4:13" ht="20.25" x14ac:dyDescent="0.25">
      <c r="D474" s="272" t="s">
        <v>1222</v>
      </c>
      <c r="E474" s="91">
        <f>SUM(H463:H472)</f>
        <v>1.5636000000000001E-2</v>
      </c>
      <c r="F474" s="90" t="str">
        <f>$E$170</f>
        <v>t CO2e</v>
      </c>
    </row>
    <row r="475" spans="4:13" ht="20.25" x14ac:dyDescent="0.25">
      <c r="D475" s="272" t="s">
        <v>1225</v>
      </c>
      <c r="E475" s="91">
        <f>SUM(J463:J472)</f>
        <v>1.3400000000000002E-2</v>
      </c>
      <c r="F475" s="90" t="str">
        <f>$E$170</f>
        <v>t CO2e</v>
      </c>
    </row>
    <row r="478" spans="4:13" ht="18.75" x14ac:dyDescent="0.25">
      <c r="D478" s="260" t="s">
        <v>1153</v>
      </c>
    </row>
    <row r="480" spans="4:13" x14ac:dyDescent="0.25">
      <c r="D480" s="81" t="s">
        <v>1103</v>
      </c>
      <c r="E480" s="81" t="s">
        <v>1323</v>
      </c>
      <c r="F480" s="123" t="s">
        <v>1321</v>
      </c>
      <c r="G480" s="123" t="s">
        <v>1222</v>
      </c>
      <c r="H480" s="81" t="s">
        <v>1322</v>
      </c>
      <c r="I480" s="123" t="s">
        <v>1225</v>
      </c>
      <c r="J480" s="81" t="s">
        <v>1226</v>
      </c>
      <c r="K480" s="81" t="s">
        <v>1227</v>
      </c>
      <c r="L480" s="81" t="s">
        <v>1228</v>
      </c>
    </row>
    <row r="481" spans="4:12" x14ac:dyDescent="0.25">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70" cm="1">
        <f t="array" ref="G481">Scope3_Equations.VEERG_15_10_1_1__1_OtherPurchasedGoodsAndServices(E481,F481*10^-3)</f>
        <v>0.1195</v>
      </c>
      <c r="H481" s="75">
        <v>0.2</v>
      </c>
      <c r="I481" s="270" cm="1">
        <f t="array" ref="I481">Scope3_Equations.VEERG_15_10_1_1__1_OtherPurchasedGoodsAndServices(E481,IF(H481,H481,F481)*10^-3)</f>
        <v>0.1</v>
      </c>
      <c r="J481" s="33"/>
      <c r="K481" s="13"/>
      <c r="L481" s="33"/>
    </row>
    <row r="482" spans="4:12" x14ac:dyDescent="0.25">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70" cm="1">
        <f t="array" ref="G482">Scope3_Equations.VEERG_15_10_1_1__1_OtherPurchasedGoodsAndServices(E482,F482*10^-3)</f>
        <v>0.1086</v>
      </c>
      <c r="H482" s="75"/>
      <c r="I482" s="270" cm="1">
        <f t="array" ref="I482">Scope3_Equations.VEERG_15_10_1_1__1_OtherPurchasedGoodsAndServices(E482,IF(H482,H482,F482)*10^-3)</f>
        <v>0.1086</v>
      </c>
      <c r="J482" s="33"/>
      <c r="K482" s="13"/>
      <c r="L482" s="33"/>
    </row>
    <row r="483" spans="4:12" x14ac:dyDescent="0.25">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70" cm="1">
        <f t="array" ref="G483">Scope3_Equations.VEERG_15_10_1_1__1_OtherPurchasedGoodsAndServices(E483,F483*10^-3)</f>
        <v>0.189</v>
      </c>
      <c r="H483" s="75">
        <v>0.2</v>
      </c>
      <c r="I483" s="270" cm="1">
        <f t="array" ref="I483">Scope3_Equations.VEERG_15_10_1_1__1_OtherPurchasedGoodsAndServices(E483,IF(H483,H483,F483)*10^-3)</f>
        <v>0.14000000000000001</v>
      </c>
      <c r="J483" s="33"/>
      <c r="K483" s="13"/>
      <c r="L483" s="33"/>
    </row>
    <row r="484" spans="4:12" x14ac:dyDescent="0.25">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70" cm="1">
        <f t="array" ref="G484">Scope3_Equations.VEERG_15_10_1_1__1_OtherPurchasedGoodsAndServices(E484,F484*10^-3)</f>
        <v>0.18560000000000001</v>
      </c>
      <c r="H484" s="75"/>
      <c r="I484" s="270" cm="1">
        <f t="array" ref="I484">Scope3_Equations.VEERG_15_10_1_1__1_OtherPurchasedGoodsAndServices(E484,IF(H484,H484,F484)*10^-3)</f>
        <v>0.18560000000000001</v>
      </c>
      <c r="J484" s="33"/>
      <c r="K484" s="13"/>
      <c r="L484" s="33"/>
    </row>
    <row r="485" spans="4:12" x14ac:dyDescent="0.25">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70" cm="1">
        <f t="array" ref="G485">Scope3_Equations.VEERG_15_10_1_1__1_OtherPurchasedGoodsAndServices(E485,F485*10^-3)</f>
        <v>0.2412</v>
      </c>
      <c r="H485" s="75">
        <v>0.2</v>
      </c>
      <c r="I485" s="270" cm="1">
        <f t="array" ref="I485">Scope3_Equations.VEERG_15_10_1_1__1_OtherPurchasedGoodsAndServices(E485,IF(H485,H485,F485)*10^-3)</f>
        <v>0.18000000000000002</v>
      </c>
      <c r="J485" s="33"/>
      <c r="K485" s="13"/>
      <c r="L485" s="33"/>
    </row>
    <row r="487" spans="4:12" ht="20.25" x14ac:dyDescent="0.25">
      <c r="D487" s="272" t="s">
        <v>1222</v>
      </c>
      <c r="E487" s="91">
        <f>SUM(G481:G485)</f>
        <v>0.84389999999999998</v>
      </c>
      <c r="F487" s="90" t="str">
        <f>$E$170</f>
        <v>t CO2e</v>
      </c>
    </row>
    <row r="488" spans="4:12" ht="20.25" x14ac:dyDescent="0.25">
      <c r="D488" s="272" t="s">
        <v>1225</v>
      </c>
      <c r="E488" s="91">
        <f>SUM(I481:I485)</f>
        <v>0.71420000000000006</v>
      </c>
      <c r="F488" s="90" t="str">
        <f>$E$170</f>
        <v>t CO2e</v>
      </c>
    </row>
    <row r="491" spans="4:12" ht="18.75" x14ac:dyDescent="0.25">
      <c r="D491" s="260" t="s">
        <v>1324</v>
      </c>
    </row>
    <row r="493" spans="4:12" x14ac:dyDescent="0.25">
      <c r="D493" s="81" t="s">
        <v>1103</v>
      </c>
      <c r="E493" s="81" t="s">
        <v>1323</v>
      </c>
      <c r="F493" s="123" t="s">
        <v>1321</v>
      </c>
      <c r="G493" s="123" t="s">
        <v>1222</v>
      </c>
      <c r="H493" s="81" t="s">
        <v>1322</v>
      </c>
      <c r="I493" s="123" t="s">
        <v>1225</v>
      </c>
      <c r="J493" s="81" t="s">
        <v>1226</v>
      </c>
      <c r="K493" s="81" t="s">
        <v>1227</v>
      </c>
      <c r="L493" s="81" t="s">
        <v>1228</v>
      </c>
    </row>
    <row r="494" spans="4:12" x14ac:dyDescent="0.25">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70" cm="1">
        <f t="array" ref="G494">Scope3_Equations.VEERG_15_10_1_1__1_OtherPurchasedGoodsAndServices(E494,F494*10^-3)</f>
        <v>4.2399999999999998E-3</v>
      </c>
      <c r="H494" s="75">
        <v>0.2</v>
      </c>
      <c r="I494" s="270" cm="1">
        <f t="array" ref="I494">Scope3_Equations.VEERG_15_10_1_1__1_OtherPurchasedGoodsAndServices(E494,IF(H494,H494,F494)*10^-3)</f>
        <v>0.02</v>
      </c>
      <c r="J494" s="33"/>
      <c r="K494" s="13"/>
      <c r="L494" s="33"/>
    </row>
    <row r="495" spans="4:12" x14ac:dyDescent="0.25">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70" cm="1">
        <f t="array" ref="G495">Scope3_Equations.VEERG_15_10_1_1__1_OtherPurchasedGoodsAndServices(E495,F495*10^-3)</f>
        <v>5.8599999999999998E-3</v>
      </c>
      <c r="H495" s="75"/>
      <c r="I495" s="270" cm="1">
        <f t="array" ref="I495">Scope3_Equations.VEERG_15_10_1_1__1_OtherPurchasedGoodsAndServices(E495,IF(H495,H495,F495)*10^-3)</f>
        <v>5.8599999999999998E-3</v>
      </c>
      <c r="J495" s="33"/>
      <c r="K495" s="13"/>
      <c r="L495" s="33"/>
    </row>
    <row r="496" spans="4:12" x14ac:dyDescent="0.25">
      <c r="D496" s="15"/>
      <c r="E496" s="15">
        <f>IFERROR(X_Cell_FarmInputs_Misc_NylonNetting, 0)</f>
        <v>0</v>
      </c>
      <c r="F496" s="15" cm="1">
        <f t="array" ref="F496">Common_InputFunctions.Utility_LookupValueInTableNumber(D496,Table_SourceData_Scope3_Other[Product],Table_SourceData_Scope3_Other[Emissions intensity])</f>
        <v>0</v>
      </c>
      <c r="G496" s="270" cm="1">
        <f t="array" ref="G496">Scope3_Equations.VEERG_15_10_1_1__1_OtherPurchasedGoodsAndServices(E496,F496*10^-3)</f>
        <v>0</v>
      </c>
      <c r="H496" s="75">
        <v>0.2</v>
      </c>
      <c r="I496" s="270" cm="1">
        <f t="array" ref="I496">Scope3_Equations.VEERG_15_10_1_1__1_OtherPurchasedGoodsAndServices(E496,IF(H496,H496,F496)*10^-3)</f>
        <v>0</v>
      </c>
      <c r="J496" s="33"/>
      <c r="K496" s="13"/>
      <c r="L496" s="33"/>
    </row>
    <row r="498" spans="4:14" ht="20.25" x14ac:dyDescent="0.25">
      <c r="D498" s="272" t="s">
        <v>1222</v>
      </c>
      <c r="E498" s="91">
        <f>SUM(G494:G496)</f>
        <v>1.01E-2</v>
      </c>
      <c r="F498" s="90" t="str">
        <f>$E$170</f>
        <v>t CO2e</v>
      </c>
    </row>
    <row r="499" spans="4:14" ht="20.25" x14ac:dyDescent="0.25">
      <c r="D499" s="272" t="s">
        <v>1225</v>
      </c>
      <c r="E499" s="91">
        <f>SUM(I494:I496)</f>
        <v>2.5860000000000001E-2</v>
      </c>
      <c r="F499" s="90" t="str">
        <f>$E$170</f>
        <v>t CO2e</v>
      </c>
    </row>
    <row r="502" spans="4:14" ht="18.75" x14ac:dyDescent="0.25">
      <c r="D502" s="260" t="s">
        <v>1325</v>
      </c>
    </row>
    <row r="504" spans="4:14" x14ac:dyDescent="0.25">
      <c r="D504" s="81" t="s">
        <v>1103</v>
      </c>
      <c r="E504" s="81" t="s">
        <v>968</v>
      </c>
      <c r="F504" s="81" t="s">
        <v>877</v>
      </c>
      <c r="G504" s="123" t="s">
        <v>1305</v>
      </c>
      <c r="H504" s="123" t="s">
        <v>1306</v>
      </c>
      <c r="I504" s="81" t="s">
        <v>1307</v>
      </c>
      <c r="J504" s="81" t="s">
        <v>1326</v>
      </c>
      <c r="K504" s="123" t="s">
        <v>1308</v>
      </c>
      <c r="L504" s="81" t="s">
        <v>1226</v>
      </c>
      <c r="M504" s="81" t="s">
        <v>1227</v>
      </c>
      <c r="N504" s="81" t="s">
        <v>1228</v>
      </c>
    </row>
    <row r="505" spans="4:14" x14ac:dyDescent="0.25">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1310</v>
      </c>
      <c r="H505" s="15" t="s">
        <v>1310</v>
      </c>
      <c r="I505" s="75">
        <v>4</v>
      </c>
      <c r="J505" s="13" t="s">
        <v>1327</v>
      </c>
      <c r="K505" s="270" cm="1">
        <f t="array" ref="K505">Scope3_Equations.VEERG_15_10_1_1__1_OtherPurchasedGoodsAndServices(E505,IF(J505="kg / amount unit", I505*10^-3, I505))</f>
        <v>4000</v>
      </c>
      <c r="L505" s="33"/>
      <c r="M505" s="13"/>
      <c r="N505" s="33"/>
    </row>
    <row r="506" spans="4:14" x14ac:dyDescent="0.25">
      <c r="D506" s="15">
        <v>0</v>
      </c>
      <c r="E506" s="15">
        <v>0</v>
      </c>
      <c r="F506" s="15">
        <v>0</v>
      </c>
      <c r="G506" s="15" t="s">
        <v>1310</v>
      </c>
      <c r="H506" s="15" t="s">
        <v>1310</v>
      </c>
      <c r="I506" s="75">
        <v>2</v>
      </c>
      <c r="J506" s="13" t="s">
        <v>1327</v>
      </c>
      <c r="K506" s="270" cm="1">
        <f t="array" ref="K506">Scope3_Equations.VEERG_15_10_1_1__1_OtherPurchasedGoodsAndServices(E506,IF(J506="kg / amount unit", I506*10^-3, I506))</f>
        <v>0</v>
      </c>
      <c r="L506" s="33"/>
      <c r="M506" s="13"/>
      <c r="N506" s="33"/>
    </row>
    <row r="507" spans="4:14" x14ac:dyDescent="0.25">
      <c r="D507" s="15">
        <v>0</v>
      </c>
      <c r="E507" s="15">
        <v>0</v>
      </c>
      <c r="F507" s="15">
        <v>0</v>
      </c>
      <c r="G507" s="15" t="s">
        <v>1310</v>
      </c>
      <c r="H507" s="15" t="s">
        <v>1310</v>
      </c>
      <c r="I507" s="75"/>
      <c r="J507" s="13"/>
      <c r="K507" s="270" cm="1">
        <f t="array" ref="K507">Scope3_Equations.VEERG_15_10_1_1__1_OtherPurchasedGoodsAndServices(E507,IF(J507="kg / amount unit", I507*10^-3, I507))</f>
        <v>0</v>
      </c>
      <c r="L507" s="33"/>
      <c r="M507" s="13"/>
      <c r="N507" s="33"/>
    </row>
    <row r="508" spans="4:14" x14ac:dyDescent="0.25">
      <c r="D508" s="15">
        <v>0</v>
      </c>
      <c r="E508" s="15">
        <v>0</v>
      </c>
      <c r="F508" s="15">
        <v>0</v>
      </c>
      <c r="G508" s="15" t="s">
        <v>1310</v>
      </c>
      <c r="H508" s="15" t="s">
        <v>1310</v>
      </c>
      <c r="I508" s="75"/>
      <c r="J508" s="13"/>
      <c r="K508" s="270" cm="1">
        <f t="array" ref="K508">Scope3_Equations.VEERG_15_10_1_1__1_OtherPurchasedGoodsAndServices(E508,IF(J508="kg / amount unit", I508*10^-3, I508))</f>
        <v>0</v>
      </c>
      <c r="L508" s="33"/>
      <c r="M508" s="13"/>
      <c r="N508" s="33"/>
    </row>
    <row r="509" spans="4:14" x14ac:dyDescent="0.25">
      <c r="D509" s="15">
        <v>0</v>
      </c>
      <c r="E509" s="15">
        <v>0</v>
      </c>
      <c r="F509" s="15">
        <v>0</v>
      </c>
      <c r="G509" s="15" t="s">
        <v>1310</v>
      </c>
      <c r="H509" s="15" t="s">
        <v>1310</v>
      </c>
      <c r="I509" s="75"/>
      <c r="J509" s="13"/>
      <c r="K509" s="270" cm="1">
        <f t="array" ref="K509">Scope3_Equations.VEERG_15_10_1_1__1_OtherPurchasedGoodsAndServices(E509,IF(J509="kg / amount unit", I509*10^-3, I509))</f>
        <v>0</v>
      </c>
      <c r="L509" s="33"/>
      <c r="M509" s="13"/>
      <c r="N509" s="33"/>
    </row>
    <row r="510" spans="4:14" x14ac:dyDescent="0.25">
      <c r="D510" s="15">
        <v>0</v>
      </c>
      <c r="E510" s="15">
        <v>0</v>
      </c>
      <c r="F510" s="15">
        <v>0</v>
      </c>
      <c r="G510" s="15" t="s">
        <v>1310</v>
      </c>
      <c r="H510" s="15" t="s">
        <v>1310</v>
      </c>
      <c r="I510" s="75"/>
      <c r="J510" s="13"/>
      <c r="K510" s="270" cm="1">
        <f t="array" ref="K510">Scope3_Equations.VEERG_15_10_1_1__1_OtherPurchasedGoodsAndServices(E510,IF(J510="kg / amount unit", I510*10^-3, I510))</f>
        <v>0</v>
      </c>
      <c r="L510" s="33"/>
      <c r="M510" s="13"/>
      <c r="N510" s="33"/>
    </row>
    <row r="511" spans="4:14" x14ac:dyDescent="0.25">
      <c r="D511" s="15">
        <v>0</v>
      </c>
      <c r="E511" s="15">
        <v>0</v>
      </c>
      <c r="F511" s="15">
        <v>0</v>
      </c>
      <c r="G511" s="15" t="s">
        <v>1310</v>
      </c>
      <c r="H511" s="15" t="s">
        <v>1310</v>
      </c>
      <c r="I511" s="75"/>
      <c r="J511" s="13"/>
      <c r="K511" s="270" cm="1">
        <f t="array" ref="K511">Scope3_Equations.VEERG_15_10_1_1__1_OtherPurchasedGoodsAndServices(E511,IF(J511="kg / amount unit", I511*10^-3, I511))</f>
        <v>0</v>
      </c>
      <c r="L511" s="33"/>
      <c r="M511" s="13"/>
      <c r="N511" s="33"/>
    </row>
    <row r="512" spans="4:14" x14ac:dyDescent="0.25">
      <c r="D512" s="15">
        <v>0</v>
      </c>
      <c r="E512" s="15">
        <v>0</v>
      </c>
      <c r="F512" s="15">
        <v>0</v>
      </c>
      <c r="G512" s="15" t="s">
        <v>1310</v>
      </c>
      <c r="H512" s="15" t="s">
        <v>1310</v>
      </c>
      <c r="I512" s="75"/>
      <c r="J512" s="13"/>
      <c r="K512" s="270" cm="1">
        <f t="array" ref="K512">Scope3_Equations.VEERG_15_10_1_1__1_OtherPurchasedGoodsAndServices(E512,IF(J512="kg / amount unit", I512*10^-3, I512))</f>
        <v>0</v>
      </c>
      <c r="L512" s="33"/>
      <c r="M512" s="13"/>
      <c r="N512" s="33"/>
    </row>
    <row r="513" spans="3:41" x14ac:dyDescent="0.25">
      <c r="D513" s="15">
        <v>0</v>
      </c>
      <c r="E513" s="15">
        <v>0</v>
      </c>
      <c r="F513" s="15">
        <v>0</v>
      </c>
      <c r="G513" s="15" t="s">
        <v>1310</v>
      </c>
      <c r="H513" s="15" t="s">
        <v>1310</v>
      </c>
      <c r="I513" s="75"/>
      <c r="J513" s="13"/>
      <c r="K513" s="270" cm="1">
        <f t="array" ref="K513">Scope3_Equations.VEERG_15_10_1_1__1_OtherPurchasedGoodsAndServices(E513,IF(J513="kg / amount unit", I513*10^-3, I513))</f>
        <v>0</v>
      </c>
      <c r="L513" s="33"/>
      <c r="M513" s="13"/>
      <c r="N513" s="33"/>
    </row>
    <row r="514" spans="3:41" x14ac:dyDescent="0.25">
      <c r="D514" s="15">
        <v>0</v>
      </c>
      <c r="E514" s="15">
        <v>0</v>
      </c>
      <c r="F514" s="15">
        <v>0</v>
      </c>
      <c r="G514" s="15" t="s">
        <v>1310</v>
      </c>
      <c r="H514" s="15" t="s">
        <v>1310</v>
      </c>
      <c r="I514" s="75"/>
      <c r="J514" s="13"/>
      <c r="K514" s="270" cm="1">
        <f t="array" ref="K514">Scope3_Equations.VEERG_15_10_1_1__1_OtherPurchasedGoodsAndServices(E514,IF(J514="kg / amount unit", I514*10^-3, I514))</f>
        <v>0</v>
      </c>
      <c r="L514" s="33"/>
      <c r="M514" s="13"/>
      <c r="N514" s="33"/>
    </row>
    <row r="516" spans="3:41" ht="20.25" x14ac:dyDescent="0.25">
      <c r="D516" s="272" t="s">
        <v>1222</v>
      </c>
      <c r="E516" s="91" t="s">
        <v>1310</v>
      </c>
      <c r="F516" s="90" t="str">
        <f>$E$170</f>
        <v>t CO2e</v>
      </c>
    </row>
    <row r="517" spans="3:41" ht="20.25" x14ac:dyDescent="0.25">
      <c r="D517" s="272" t="s">
        <v>1225</v>
      </c>
      <c r="E517" s="91">
        <f>SUM(K505:K514)</f>
        <v>4000</v>
      </c>
      <c r="F517" s="90" t="str">
        <f>$E$170</f>
        <v>t CO2e</v>
      </c>
    </row>
    <row r="520" spans="3:41" x14ac:dyDescent="0.25">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c r="AE520" s="89"/>
      <c r="AF520" s="89"/>
      <c r="AG520" s="89"/>
      <c r="AH520" s="89"/>
      <c r="AI520" s="89"/>
      <c r="AJ520" s="89"/>
      <c r="AK520" s="89"/>
      <c r="AL520" s="89"/>
      <c r="AM520" s="89"/>
      <c r="AN520" s="89"/>
      <c r="AO520" s="89"/>
    </row>
    <row r="521" spans="3:41" ht="23.25" x14ac:dyDescent="0.25">
      <c r="D521" s="2" t="str" cm="1">
        <f t="array" ref="D521">Scope3_Equations.VEERG_15_11_1_1__1_TotalUpstreamEmissionsFromFuel_Title()</f>
        <v>Total upstream emissions from scope 1 fuel consumption</v>
      </c>
    </row>
    <row r="522" spans="3:41" x14ac:dyDescent="0.25">
      <c r="D522" s="17" t="str" cm="1">
        <f t="array" ref="D522">Scope3_Equations.VEERG_15_11_1_1__1_TotalUpstreamEmissionsFromFuel_Source()</f>
        <v>VEERG 2026: 15.11.1.1, Equation (1)</v>
      </c>
    </row>
    <row r="523" spans="3:41" x14ac:dyDescent="0.25">
      <c r="D523" s="117" t="s">
        <v>343</v>
      </c>
      <c r="E523" s="117" t="str">
        <f ca="1">Common_InputFunctions.Utility_DisplayFunctionName(VEERG_15_11_1_1__1_TotalUpstreamEmissionsFromFuel_Result)</f>
        <v>=Scope3_Equations.VEERG_15_11_1_1__1_TotalUpstreamEmissionsFromFuel</v>
      </c>
    </row>
    <row r="527" spans="3:41" x14ac:dyDescent="0.25">
      <c r="D527" s="76" t="s">
        <v>344</v>
      </c>
      <c r="E527" s="1" t="str" cm="1">
        <f t="array" ref="E527">Scope3_Equations.VEERG_15_11_1_1__1_TotalUpstreamEmissionsFromFuel_Variable()</f>
        <v>E</v>
      </c>
    </row>
    <row r="528" spans="3:41" x14ac:dyDescent="0.25">
      <c r="D528" s="76" t="s">
        <v>118</v>
      </c>
      <c r="E528" s="9" t="str" cm="1">
        <f t="array" ref="E528">Scope3_Equations.VEERG_15_11_1_1__1_TotalUpstreamEmissionsFromFuel_Unit()</f>
        <v>t CO2e</v>
      </c>
    </row>
    <row r="530" spans="3:41" x14ac:dyDescent="0.25">
      <c r="D530" s="119" t="str" cm="1">
        <f t="array" ref="D530:E531">_xlfn.CHOOSECOLS(Scope3_Equations.VEERG_15_11_1_1__1_TotalUpstreamEmissionsFromFuel_Arguments(),1,2)</f>
        <v>E_WTTtransq</v>
      </c>
      <c r="E530" s="124" t="str">
        <v>upstream emissions from scope 1 transport fuel use</v>
      </c>
      <c r="F530" s="125"/>
      <c r="G530" s="119" t="str" cm="1">
        <f t="array" ref="G530:H531">_xlfn.CHOOSECOLS(Scope3_Equations.VEERG_15_11_1_1__1_TotalUpstreamEmissionsFromFuel_Arguments(),3,4)</f>
        <v>t CO2e</v>
      </c>
      <c r="H530" s="127" t="str">
        <v>Calculated by 15.11.1.1 (2)</v>
      </c>
      <c r="I530" s="119">
        <f>VEERG_8_1_1_1__1_FuelCombustionTransport_Result</f>
        <v>20.5016</v>
      </c>
    </row>
    <row r="531" spans="3:41" x14ac:dyDescent="0.25">
      <c r="D531" s="119" t="str">
        <v>E_WTTSCq</v>
      </c>
      <c r="E531" s="124" t="str">
        <v>upstream emissions from scope 1 stationary combustion fuel use</v>
      </c>
      <c r="F531" s="125"/>
      <c r="G531" s="119" t="str">
        <v>t CO2e</v>
      </c>
      <c r="H531" s="127" t="str">
        <v>Calculated by 15.11.1.1 (3)</v>
      </c>
      <c r="I531" s="119">
        <f>VEERG_8_2_1_1__1_FuelCombustionStationary_Result</f>
        <v>5.8823999999999996</v>
      </c>
    </row>
    <row r="533" spans="3:41" ht="20.25" x14ac:dyDescent="0.25">
      <c r="D533" s="272" t="s">
        <v>1328</v>
      </c>
      <c r="E533" s="91" cm="1">
        <f t="array" ref="E533">Scope3_Equations.VEERG_15_11_1_1__1_TotalUpstreamEmissionsFromFuel(I530,I531)</f>
        <v>26.384</v>
      </c>
      <c r="F533" s="90" t="str">
        <f>$E$170</f>
        <v>t CO2e</v>
      </c>
    </row>
    <row r="535" spans="3:41" x14ac:dyDescent="0.25">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c r="AE535" s="89"/>
      <c r="AF535" s="89"/>
      <c r="AG535" s="89"/>
      <c r="AH535" s="89"/>
      <c r="AI535" s="89"/>
      <c r="AJ535" s="89"/>
      <c r="AK535" s="89"/>
      <c r="AL535" s="89"/>
      <c r="AM535" s="89"/>
      <c r="AN535" s="89"/>
      <c r="AO535" s="89"/>
    </row>
    <row r="536" spans="3:41" ht="23.25" x14ac:dyDescent="0.25">
      <c r="D536" s="2" t="str" cm="1">
        <f t="array" ref="D536">Scope3_Equations.VEERG_15_12_1_1__1_UpstreamPurchasedElectricityLocationBased_Title()</f>
        <v>Scope 3 emissions from purchased electricity location based</v>
      </c>
    </row>
    <row r="537" spans="3:41" x14ac:dyDescent="0.25">
      <c r="D537" s="17" t="str" cm="1">
        <f t="array" ref="D537">Scope3_Equations.VEERG_15_12_1_1__1_UpstreamPurchasedElectricityLocationBased_Source()</f>
        <v>VEERG 2026: 15.12.1.1, Equation (1)</v>
      </c>
    </row>
    <row r="538" spans="3:41" x14ac:dyDescent="0.25">
      <c r="D538" s="117" t="s">
        <v>343</v>
      </c>
      <c r="E538" s="117" t="str">
        <f ca="1">Common_InputFunctions.Utility_DisplayFunctionName(VEERG_15_12_1_1__1_UpstreamPurchasedElectricityLocationBased_Result)</f>
        <v>=Scope3_Equations.VEERG_15_12_1_1__1_UpstreamPurchasedElectricityLocationBased</v>
      </c>
    </row>
    <row r="541" spans="3:41" x14ac:dyDescent="0.25">
      <c r="D541" s="76" t="s">
        <v>344</v>
      </c>
      <c r="E541" s="1" t="str" cm="1">
        <f t="array" ref="E541">Scope3_Equations.VEERG_15_12_1_1__1_UpstreamPurchasedElectricityLocationBased_Variable()</f>
        <v>E_3elec</v>
      </c>
    </row>
    <row r="542" spans="3:41" x14ac:dyDescent="0.25">
      <c r="D542" s="76" t="s">
        <v>118</v>
      </c>
      <c r="E542" s="1" t="str" cm="1">
        <f t="array" ref="E542">Scope3_Equations.VEERG_15_12_1_1__1_UpstreamPurchasedElectricityLocationBased_Unit()</f>
        <v>t CO2e</v>
      </c>
    </row>
    <row r="544" spans="3:41" x14ac:dyDescent="0.25">
      <c r="D544" s="119" t="str" cm="1">
        <f t="array" ref="D544:E546">_xlfn.CHOOSECOLS(Scope3_Equations.VEERG_15_12_1_1__1_UpstreamPurchasedElectricityLocationBased_Arguments(),1,2)</f>
        <v>Q_elec</v>
      </c>
      <c r="E544" s="119" t="str">
        <v>amount of electricity purchased from the grid</v>
      </c>
      <c r="F544" s="119"/>
      <c r="G544" s="119" t="str" cm="1">
        <f t="array" ref="G544:H546">_xlfn.CHOOSECOLS(Scope3_Equations.VEERG_15_12_1_1__1_UpstreamPurchasedElectricityLocationBased_Arguments(),3,4)</f>
        <v>kWh</v>
      </c>
      <c r="H544" s="268" t="str">
        <v>Input</v>
      </c>
      <c r="I544" s="124">
        <f>X_Cell_Electricity_Location_AmountPurchasedInkWh</f>
        <v>30000</v>
      </c>
      <c r="J544" s="125"/>
    </row>
    <row r="545" spans="3:41" x14ac:dyDescent="0.25">
      <c r="D545" s="119" t="str">
        <v>EF_3elec</v>
      </c>
      <c r="E545" s="119" t="str">
        <v>scope 3 emission factor for purchased electricity</v>
      </c>
      <c r="F545" s="119"/>
      <c r="G545" s="119" t="str">
        <v>kg CO2e/kWh</v>
      </c>
      <c r="H545" s="127" t="str">
        <v>Constant</v>
      </c>
      <c r="I545" s="124" cm="1">
        <f t="array" ref="I545">Common_InputFunctions.Utility_LookupValueInTableNumber(I546,Table_SourceData_ElectricityEFs[State, Territory or grid description],Table_SourceData_ElectricityEFs[Scope 3 Emission Factors (kg CO2-e/kWh)])</f>
        <v>0.09</v>
      </c>
      <c r="J545" s="125"/>
    </row>
    <row r="546" spans="3:41" x14ac:dyDescent="0.25">
      <c r="D546" s="119" t="str">
        <v>g</v>
      </c>
      <c r="E546" s="124" t="str">
        <v>grid electricity was purchased from</v>
      </c>
      <c r="F546" s="125"/>
      <c r="G546" s="119" t="str">
        <v/>
      </c>
      <c r="H546" s="268" t="str">
        <v>Input</v>
      </c>
      <c r="I546" s="124" t="str">
        <f>X_Cell_Electricity_Location_GridElectricityPurchasedFrom</f>
        <v>Western Australia - North Western Interconnected System (NWIS)</v>
      </c>
      <c r="J546" s="125"/>
    </row>
    <row r="548" spans="3:41" ht="20.25" x14ac:dyDescent="0.25">
      <c r="D548" s="272" t="s">
        <v>1329</v>
      </c>
      <c r="E548" s="91" cm="1">
        <f t="array" ref="E548">Scope3_Equations.VEERG_15_12_1_1__1_UpstreamPurchasedElectricityLocationBased(I544,I545)</f>
        <v>2.7</v>
      </c>
      <c r="F548" s="90" t="str">
        <f>$E$170</f>
        <v>t CO2e</v>
      </c>
    </row>
    <row r="551" spans="3:41" x14ac:dyDescent="0.25">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c r="AE551" s="89"/>
      <c r="AF551" s="89"/>
      <c r="AG551" s="89"/>
      <c r="AH551" s="89"/>
      <c r="AI551" s="89"/>
      <c r="AJ551" s="89"/>
      <c r="AK551" s="89"/>
      <c r="AL551" s="89"/>
      <c r="AM551" s="89"/>
      <c r="AN551" s="89"/>
      <c r="AO551" s="89"/>
    </row>
    <row r="552" spans="3:41" ht="23.25" x14ac:dyDescent="0.25">
      <c r="D552" s="2" t="str" cm="1">
        <f t="array" ref="D552">Scope3_Equations.VEERG_15_12_1_2__1_UpstreamPurchasedElectricityMarketBased_Title()</f>
        <v>Scope 3 emissions from purchased electricity market based</v>
      </c>
    </row>
    <row r="553" spans="3:41" x14ac:dyDescent="0.25">
      <c r="D553" s="17" t="str" cm="1">
        <f t="array" ref="D553">Scope3_Equations.VEERG_15_12_1_2__1_UpstreamPurchasedElectricityMarketBased_Source()</f>
        <v>VEERG 2026: 15.12.1.2, Equation (1)</v>
      </c>
    </row>
    <row r="554" spans="3:41" x14ac:dyDescent="0.25">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3:41" x14ac:dyDescent="0.25">
      <c r="D555" s="117" t="s">
        <v>343</v>
      </c>
      <c r="E555" s="117" t="str">
        <f ca="1">Common_InputFunctions.Utility_DisplayFunctionName(VEERG_15_12_1_2__1_UpstreamPurchasedElectricityMarketBasedVariation_Result)</f>
        <v>=Scope3_Equations.VEERG_15_12_1_2__1_UpstreamPurchasedElectricityMarketBasedVariation</v>
      </c>
    </row>
    <row r="559" spans="3:41" x14ac:dyDescent="0.25">
      <c r="D559" s="76" t="s">
        <v>344</v>
      </c>
      <c r="E559" s="1" t="str" cm="1">
        <f t="array" ref="E559">Scope3_Equations.VEERG_15_12_1_2__1_UpstreamPurchasedElectricityMarketBased_Variable()</f>
        <v>E_3elec</v>
      </c>
    </row>
    <row r="560" spans="3:41" x14ac:dyDescent="0.25">
      <c r="D560" s="76" t="s">
        <v>118</v>
      </c>
      <c r="E560" s="1" t="str" cm="1">
        <f t="array" ref="E560">Scope3_Equations.VEERG_15_12_1_2__1_UpstreamPurchasedElectricityMarketBased_Unit()</f>
        <v>t CO2e</v>
      </c>
    </row>
    <row r="562" spans="3:41" x14ac:dyDescent="0.25">
      <c r="D562" s="119" t="str" cm="1">
        <f t="array" ref="D562:E568">_xlfn.CHOOSECOLS(Scope3_Equations.VEERG_15_12_1_2__1_UpstreamPurchasedElectricityMarketBased_Arguments(),1,2)</f>
        <v>Q_elec</v>
      </c>
      <c r="E562" s="124" t="str">
        <v>amount of electricity purchased from the grid</v>
      </c>
      <c r="F562" s="125"/>
      <c r="G562" s="119" t="str" cm="1">
        <f t="array" ref="G562:H568">_xlfn.CHOOSECOLS(Scope3_Equations.VEERG_15_12_1_2__1_UpstreamPurchasedElectricityMarketBased_Arguments(),3,4)</f>
        <v>kWh</v>
      </c>
      <c r="H562" s="268" t="str">
        <v>Input</v>
      </c>
      <c r="I562" s="273">
        <f>X_Cell_Electricity_Market_AmountPurchasedExcludingGreenPower</f>
        <v>30000</v>
      </c>
    </row>
    <row r="563" spans="3:41" x14ac:dyDescent="0.25">
      <c r="D563" s="119" t="str">
        <v>RPP</v>
      </c>
      <c r="E563" s="124" t="str">
        <v>renewable power percentage under LRET for the applicable period</v>
      </c>
      <c r="F563" s="125"/>
      <c r="G563" s="119" t="str">
        <v>fraction</v>
      </c>
      <c r="H563" s="268" t="str">
        <v>Input</v>
      </c>
      <c r="I563" s="200">
        <f>X_Cell_Electricity_Market_RenewablePowerPercentage</f>
        <v>0.1</v>
      </c>
    </row>
    <row r="564" spans="3:41" x14ac:dyDescent="0.25">
      <c r="D564" s="119" t="str">
        <v>JRPP</v>
      </c>
      <c r="E564" s="124" t="str">
        <v>jurisdictional renewable power percentage for the applicable period</v>
      </c>
      <c r="F564" s="125"/>
      <c r="G564" s="119" t="str">
        <v>fraction</v>
      </c>
      <c r="H564" s="268" t="str">
        <v>Input</v>
      </c>
      <c r="I564" s="200">
        <f>X_Cell_Electricity_Market_JurisdictionalRenewablePowerPercentage</f>
        <v>0.1</v>
      </c>
    </row>
    <row r="565" spans="3:41" x14ac:dyDescent="0.25">
      <c r="D565" s="119" t="str">
        <v>REC_surrendered</v>
      </c>
      <c r="E565" s="124" t="str">
        <v>eligible renewable energy certificates voluntarily surrendered</v>
      </c>
      <c r="F565" s="125"/>
      <c r="G565" s="119" t="str">
        <v>MWh</v>
      </c>
      <c r="H565" s="268" t="str">
        <v>Input</v>
      </c>
      <c r="I565" s="119">
        <f>(X_Cell_Electricity_Market_AmountPurchasedGreenPower*10^-3)+X_Cell_TotalElegibleVoluntarilySurrenderedRECs</f>
        <v>10</v>
      </c>
    </row>
    <row r="566" spans="3:41" x14ac:dyDescent="0.25">
      <c r="D566" s="119" t="str">
        <v>REC_onsite</v>
      </c>
      <c r="E566" s="124" t="str">
        <v>eligible renewable energy certificates issued for onsite generated electricity</v>
      </c>
      <c r="F566" s="125"/>
      <c r="G566" s="119" t="str">
        <v>MWh</v>
      </c>
      <c r="H566" s="268" t="str">
        <v>Input</v>
      </c>
      <c r="I566" s="119">
        <f>X_Cell_TotalElegibleRECsForElectricityProducedOnSite</f>
        <v>0</v>
      </c>
    </row>
    <row r="567" spans="3:41" x14ac:dyDescent="0.25">
      <c r="D567" s="119" t="str">
        <v>EF_RMF3elec</v>
      </c>
      <c r="E567" s="124" t="str">
        <v>scope 3 residual mix emission factor for electricity</v>
      </c>
      <c r="F567" s="125"/>
      <c r="G567" s="119" t="str">
        <v>kg CO2e/kWh</v>
      </c>
      <c r="H567" s="127" t="str">
        <v>Constant</v>
      </c>
      <c r="I567" s="119" cm="1">
        <f t="array" ref="I567">Table_SourceData_ElectricityEFsMarketBased[Scope 3 EF (kg CO2-e/kWh)]</f>
        <v>0.1</v>
      </c>
    </row>
    <row r="568" spans="3:41" x14ac:dyDescent="0.25">
      <c r="D568" s="119" t="str">
        <v>i</v>
      </c>
      <c r="E568" s="124" t="str">
        <v>state</v>
      </c>
      <c r="F568" s="125"/>
      <c r="G568" s="119" t="str">
        <v/>
      </c>
      <c r="H568" s="268" t="str">
        <v>Input</v>
      </c>
      <c r="I568" s="119" t="str">
        <f>X_Cell_Site_State</f>
        <v>Dry climate zone</v>
      </c>
    </row>
    <row r="570" spans="3:41" ht="20.25" x14ac:dyDescent="0.25">
      <c r="D570" s="272" t="s">
        <v>1329</v>
      </c>
      <c r="E570" s="91" cm="1">
        <f t="array" ref="E570">Scope3_Equations.VEERG_15_12_1_2__1_UpstreamPurchasedElectricityMarketBasedVariation(I562,I563,I564,I565,I566,I567)</f>
        <v>1.4000000000000001</v>
      </c>
      <c r="F570" s="90" t="str">
        <f>$E$170</f>
        <v>t CO2e</v>
      </c>
    </row>
    <row r="573" spans="3:41" x14ac:dyDescent="0.25">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c r="AE573" s="89"/>
      <c r="AF573" s="89"/>
      <c r="AG573" s="89"/>
      <c r="AH573" s="89"/>
      <c r="AI573" s="89"/>
      <c r="AJ573" s="89"/>
      <c r="AK573" s="89"/>
      <c r="AL573" s="89"/>
      <c r="AM573" s="89"/>
      <c r="AN573" s="89"/>
      <c r="AO573" s="89"/>
    </row>
    <row r="574" spans="3:41" ht="23.25" x14ac:dyDescent="0.25">
      <c r="D574" s="2" t="str" cm="1">
        <f t="array" ref="D574">Scope3_Equations.VEERG_15_13_1_1__1_EmissionsFromManureSentOffSite_Title()</f>
        <v>Emissions from manure sent off site applied to soils in another farming system or enterprise</v>
      </c>
    </row>
    <row r="575" spans="3:41" x14ac:dyDescent="0.25">
      <c r="D575" s="17" t="str" cm="1">
        <f t="array" ref="D575">Scope3_Equations.VEERG_15_13_1_1__1_EmissionsFromManureSentOffSite_Source()</f>
        <v>VEERG 2026: 15.13.1.1, Equation (1)</v>
      </c>
    </row>
    <row r="576" spans="3:41" x14ac:dyDescent="0.25">
      <c r="D576" s="117" t="s">
        <v>343</v>
      </c>
      <c r="E576" s="117" t="str" cm="1">
        <f t="array" aca="1" ref="E576" ca="1">Common_InputFunctions.Utility_DisplayFunctionName(E588)</f>
        <v>=Scope3_Equations.VEERG_15_13_1_1__1_EmissionsFromManureSentOffSite</v>
      </c>
    </row>
    <row r="579" spans="4:18" x14ac:dyDescent="0.25">
      <c r="D579" s="76" t="s">
        <v>344</v>
      </c>
      <c r="E579" s="1" t="str" cm="1">
        <f t="array" ref="E579">Scope3_Equations.VEERG_15_13_1_1__1_EmissionsFromManureSentOffSite_Variable()</f>
        <v>E</v>
      </c>
    </row>
    <row r="580" spans="4:18" x14ac:dyDescent="0.25">
      <c r="D580" s="76" t="s">
        <v>118</v>
      </c>
      <c r="E580" s="9" t="str" cm="1">
        <f t="array" ref="E580">Scope3_Equations.VEERG_15_13_1_1__1_EmissionsFromManureSentOffSite_Unit()</f>
        <v>t N2O</v>
      </c>
    </row>
    <row r="582" spans="4:18" x14ac:dyDescent="0.25">
      <c r="D582" s="24" t="s">
        <v>129</v>
      </c>
      <c r="L582" s="24" t="s">
        <v>130</v>
      </c>
    </row>
    <row r="584" spans="4:18" x14ac:dyDescent="0.25">
      <c r="D584" s="119" t="str" cm="1">
        <f t="array" ref="D584:E586">_xlfn.CHOOSECOLS(Scope3_Equations.VEERG_15_13_1_1__1_EmissionsFromManureSentOffSite_Arguments(),1,2)</f>
        <v>E_N2O</v>
      </c>
      <c r="E584" s="124" t="str">
        <v>direct nitrous oxide emissions from application of manure to soils outside of scope 1 boundary</v>
      </c>
      <c r="F584" s="132"/>
      <c r="G584" s="125"/>
      <c r="H584" s="119" t="str" cm="1">
        <f t="array" ref="H584:I586">_xlfn.CHOOSECOLS(Scope3_Equations.VEERG_15_13_1_1__1_EmissionsFromManureSentOffSite_Arguments(),3,4)</f>
        <v>t N2O</v>
      </c>
      <c r="I584" s="127" t="str">
        <v>Calculated</v>
      </c>
      <c r="J584" s="119">
        <f>IFERROR(VEERG_5_2_1_1__1_OrganicFertiliserApplicationN2OEmissions_Result_Method1, 0)</f>
        <v>0</v>
      </c>
      <c r="L584" s="119" t="str" cm="1">
        <f t="array" ref="L584:M586">_xlfn.CHOOSECOLS(Scope3_Equations.VEERG_15_13_1_1__1_EmissionsFromManureSentOffSite_Arguments(),1,2)</f>
        <v>E_N2O</v>
      </c>
      <c r="M584" s="124" t="str">
        <v>direct nitrous oxide emissions from application of manure to soils outside of scope 1 boundary</v>
      </c>
      <c r="N584" s="132"/>
      <c r="O584" s="125"/>
      <c r="P584" s="119" t="str" cm="1">
        <f t="array" ref="P584:Q586">_xlfn.CHOOSECOLS(Scope3_Equations.VEERG_15_13_1_1__1_EmissionsFromManureSentOffSite_Arguments(),3,4)</f>
        <v>t N2O</v>
      </c>
      <c r="Q584" s="127" t="str">
        <v>Calculated</v>
      </c>
      <c r="R584" s="119">
        <f>IFERROR(VEERG_5_2_1_1__1_OrganicFertiliserApplicationN2OEmissions_Result_Method2, 0)</f>
        <v>0</v>
      </c>
    </row>
    <row r="585" spans="4:18" x14ac:dyDescent="0.25">
      <c r="D585" s="119" t="str">
        <v>E_ad</v>
      </c>
      <c r="E585" s="124" t="str">
        <v>nitrous oxide emissions from atmospheric deposition of manure to soils</v>
      </c>
      <c r="F585" s="132"/>
      <c r="G585" s="125"/>
      <c r="H585" s="119" t="str">
        <v>t N2O</v>
      </c>
      <c r="I585" s="127" t="str">
        <v>Calculated</v>
      </c>
      <c r="J585" s="119">
        <f>IFERROR(VEERG_5_4_1_3__1_OrganicFertiliserAtmosphericDepositionN2OEmissions_Result_Method1, 0)</f>
        <v>2.31E-3</v>
      </c>
      <c r="L585" s="119" t="str">
        <v>E_ad</v>
      </c>
      <c r="M585" s="124" t="str">
        <v>nitrous oxide emissions from atmospheric deposition of manure to soils</v>
      </c>
      <c r="N585" s="132"/>
      <c r="O585" s="125"/>
      <c r="P585" s="119" t="str">
        <v>t N2O</v>
      </c>
      <c r="Q585" s="127" t="str">
        <v>Calculated</v>
      </c>
      <c r="R585" s="119">
        <f>IFERROR(VEERG_5_4_1_3__1_OrganicFertiliserAtmosphericDepositionN2OEmissions_Result_Method2, 0)</f>
        <v>4.62E-3</v>
      </c>
    </row>
    <row r="586" spans="4:18" x14ac:dyDescent="0.25">
      <c r="D586" s="119" t="str">
        <v>E_leach</v>
      </c>
      <c r="E586" s="124" t="str">
        <v>nitrous oxide emissions from nitrogen leaching and runoff of manure to soils</v>
      </c>
      <c r="F586" s="132"/>
      <c r="G586" s="125"/>
      <c r="H586" s="119" t="str">
        <v>t N2O</v>
      </c>
      <c r="I586" s="127" t="str">
        <v>Calculated</v>
      </c>
      <c r="J586" s="119">
        <f>IFERROR(VEERG_5_5_1_1__1_FertiliserLeachingAndRunoffN2OEmissions_Result_Method1, 0)</f>
        <v>4.1485714285714277E-3</v>
      </c>
      <c r="L586" s="119" t="str">
        <v>E_leach</v>
      </c>
      <c r="M586" s="124" t="str">
        <v>nitrous oxide emissions from nitrogen leaching and runoff of manure to soils</v>
      </c>
      <c r="N586" s="132"/>
      <c r="O586" s="125"/>
      <c r="P586" s="119" t="str">
        <v>t N2O</v>
      </c>
      <c r="Q586" s="127" t="str">
        <v>Calculated</v>
      </c>
      <c r="R586" s="119">
        <f>IFERROR(VEERG_5_5_1_1__1_FertiliserLeachingAndRunoffN2OEmissions_Result_Method2, 0)</f>
        <v>8.2971428571428554E-3</v>
      </c>
    </row>
    <row r="588" spans="4:18" ht="20.25" x14ac:dyDescent="0.25">
      <c r="D588" s="272" t="s">
        <v>1329</v>
      </c>
      <c r="E588" s="91" cm="1">
        <f t="array" ref="E588">Scope3_Equations.VEERG_15_13_1_1__1_EmissionsFromManureSentOffSite(J584,J585,J586)</f>
        <v>6.4585714285714281E-3</v>
      </c>
      <c r="F588" s="90" t="str">
        <f>$E$580</f>
        <v>t N2O</v>
      </c>
      <c r="L588" s="272" t="s">
        <v>1329</v>
      </c>
      <c r="M588" s="91" cm="1">
        <f t="array" ref="M588">Scope3_Equations.VEERG_15_13_1_1__1_EmissionsFromManureSentOffSite(R584,R585,R586)</f>
        <v>1.2917142857142856E-2</v>
      </c>
      <c r="N588" s="90" t="str">
        <f>$E$580</f>
        <v>t N2O</v>
      </c>
    </row>
    <row r="590" spans="4:18" x14ac:dyDescent="0.25">
      <c r="D590" s="131" t="str" cm="1">
        <f t="array" ref="D590:E591">Common_Equations.Common_ConvertN2OToCO2e_Arguments()</f>
        <v>EN2O</v>
      </c>
      <c r="E590" s="134" t="str">
        <v>Nitrous oxide emissions (t N2O)</v>
      </c>
      <c r="F590" s="135"/>
      <c r="G590" s="15">
        <f>E588</f>
        <v>6.4585714285714281E-3</v>
      </c>
      <c r="L590" s="131" t="str" cm="1">
        <f t="array" ref="L590:M591">Common_Equations.Common_ConvertN2OToCO2e_Arguments()</f>
        <v>EN2O</v>
      </c>
      <c r="M590" s="134" t="str">
        <v>Nitrous oxide emissions (t N2O)</v>
      </c>
      <c r="N590" s="135"/>
      <c r="O590" s="15">
        <f>M588</f>
        <v>1.2917142857142856E-2</v>
      </c>
    </row>
    <row r="591" spans="4:18" x14ac:dyDescent="0.25">
      <c r="D591" s="131" t="str">
        <v>GWPN2O</v>
      </c>
      <c r="E591" s="134" t="str">
        <v>Global warming potential for nitrous oxide (t CO2-e / t N2O)</v>
      </c>
      <c r="F591" s="135"/>
      <c r="G591" s="15">
        <f>Common_InputFunctions.Utility_LookupValueInTableNumber("N2O",Table_GWPData[Gas],Table_GWPData[CO2-e factor])</f>
        <v>265</v>
      </c>
      <c r="L591" s="131" t="str">
        <v>GWPN2O</v>
      </c>
      <c r="M591" s="134" t="str">
        <v>Global warming potential for nitrous oxide (t CO2-e / t N2O)</v>
      </c>
      <c r="N591" s="135"/>
      <c r="O591" s="15">
        <f>Common_InputFunctions.Utility_LookupValueInTableNumber("N2O",Table_GWPData[Gas],Table_GWPData[CO2-e factor])</f>
        <v>265</v>
      </c>
    </row>
    <row r="593" spans="3:41" ht="18.75" x14ac:dyDescent="0.25">
      <c r="D593" s="89" t="s">
        <v>493</v>
      </c>
      <c r="E593" s="89" cm="1">
        <f t="array" ref="E593">Common_Equations.Common_ConvertN2OToCO2e(G590,G591)</f>
        <v>1.7115214285714284</v>
      </c>
      <c r="F593" s="94" t="str" cm="1">
        <f t="array" ref="F593">Common_Equations.Common_ConvertN2OToCO2e_Unit()</f>
        <v>t CO2e</v>
      </c>
      <c r="L593" s="89" t="s">
        <v>493</v>
      </c>
      <c r="M593" s="89" cm="1">
        <f t="array" ref="M593">Common_Equations.Common_ConvertN2OToCO2e(O590,O591)</f>
        <v>3.4230428571428568</v>
      </c>
      <c r="N593" s="94" t="str" cm="1">
        <f t="array" ref="N593">Common_Equations.Common_ConvertN2OToCO2e_Unit()</f>
        <v>t CO2e</v>
      </c>
    </row>
    <row r="596" spans="3:41" x14ac:dyDescent="0.25">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c r="AE596" s="89"/>
      <c r="AF596" s="89"/>
      <c r="AG596" s="89"/>
      <c r="AH596" s="89"/>
      <c r="AI596" s="89"/>
      <c r="AJ596" s="89"/>
      <c r="AK596" s="89"/>
      <c r="AL596" s="89"/>
      <c r="AM596" s="89"/>
      <c r="AN596" s="89"/>
      <c r="AO596" s="89"/>
    </row>
    <row r="597" spans="3:41" ht="23.25" x14ac:dyDescent="0.25">
      <c r="D597" s="2" t="str" cm="1">
        <f t="array" ref="D597">Scope3_Equations.VEERG_15_13_1_3__1_EmissionsFromSolidWasteTreatmentFacility_Title()</f>
        <v>Emissions from solid waste sent to a treatment facility</v>
      </c>
    </row>
    <row r="598" spans="3:41" x14ac:dyDescent="0.25">
      <c r="D598" s="17" t="str" cm="1">
        <f t="array" ref="D598">Scope3_Equations.VEERG_15_13_1_3__1_EmissionsFromSolidWasteTreatmentFacility_Source()</f>
        <v>VEERG 2026: 15.13.1.3</v>
      </c>
    </row>
    <row r="600" spans="3:41" x14ac:dyDescent="0.25">
      <c r="D600" s="76" t="s">
        <v>344</v>
      </c>
      <c r="E600" s="1" t="str" cm="1">
        <f t="array" ref="E600">Scope3_Equations.VEERG_15_13_1_3__1_EmissionsFromSolidWasteTreatmentFacility_Variable()</f>
        <v>E</v>
      </c>
    </row>
    <row r="601" spans="3:41" x14ac:dyDescent="0.25">
      <c r="D601" s="76" t="s">
        <v>118</v>
      </c>
      <c r="E601" s="9" t="str" cm="1">
        <f t="array" ref="E601">Scope3_Equations.VEERG_15_13_1_3__1_EmissionsFromSolidWasteTreatmentFacility_Unit()</f>
        <v>t CO2e</v>
      </c>
    </row>
    <row r="603" spans="3:41" ht="20.25" x14ac:dyDescent="0.25">
      <c r="D603" s="272" t="s">
        <v>1329</v>
      </c>
      <c r="E603" s="91">
        <f>VEERG_10_1_1_1__1_EmissionsFromWasteManagement_Scope3_Result_Method1</f>
        <v>441.15000000000003</v>
      </c>
      <c r="F603" s="90" t="str">
        <f>E601</f>
        <v>t CO2e</v>
      </c>
    </row>
    <row r="606" spans="3:41" x14ac:dyDescent="0.25">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c r="AE606" s="89"/>
      <c r="AF606" s="89"/>
      <c r="AG606" s="89"/>
      <c r="AH606" s="89"/>
      <c r="AI606" s="89"/>
      <c r="AJ606" s="89"/>
      <c r="AK606" s="89"/>
      <c r="AL606" s="89"/>
      <c r="AM606" s="89"/>
      <c r="AN606" s="89"/>
      <c r="AO606" s="89"/>
    </row>
    <row r="607" spans="3:41" ht="23.25" x14ac:dyDescent="0.25">
      <c r="D607" s="2" t="str" cm="1">
        <f t="array" ref="D607">Scope3_Equations.VEERG_15_14_1_1__1_EmbeddedEmissionsFromUpstreamFreight_Title()</f>
        <v>Embedded emissions from upstream freight</v>
      </c>
    </row>
    <row r="608" spans="3:41" x14ac:dyDescent="0.25">
      <c r="D608" s="17" t="str" cm="1">
        <f t="array" ref="D608">Scope3_Equations.VEERG_15_14_1_1__1_EmbeddedEmissionsFromUpstreamFreight_Source()</f>
        <v>VEERG 2026: 15.14.1.1, Equation (1)</v>
      </c>
    </row>
    <row r="609" spans="4:13" x14ac:dyDescent="0.25">
      <c r="D609" s="117" t="s">
        <v>343</v>
      </c>
      <c r="E609" s="117" t="str" cm="1">
        <f t="array" aca="1" ref="E609" ca="1">Common_InputFunctions.Utility_DisplayFunctionName(J624)</f>
        <v>=Scope3_Equations.VEERG_15_14_1_1__1_EmbeddedEmissionsFromUpstreamFreight</v>
      </c>
    </row>
    <row r="613" spans="4:13" x14ac:dyDescent="0.25">
      <c r="D613" s="76" t="s">
        <v>344</v>
      </c>
      <c r="E613" s="1" t="str" cm="1">
        <f t="array" ref="E613">Scope3_Equations.VEERG_15_14_1_1__1_EmbeddedEmissionsFromUpstreamFreight_Variable()</f>
        <v>E</v>
      </c>
    </row>
    <row r="614" spans="4:13" x14ac:dyDescent="0.25">
      <c r="D614" s="76" t="s">
        <v>118</v>
      </c>
      <c r="E614" s="9" t="str" cm="1">
        <f t="array" ref="E614">Scope3_Equations.VEERG_15_14_1_1__1_EmbeddedEmissionsFromUpstreamFreight_Unit()</f>
        <v>t CO2e</v>
      </c>
    </row>
    <row r="616" spans="4:13" x14ac:dyDescent="0.25">
      <c r="D616" s="119" t="str" cm="1">
        <f t="array" ref="D616:E619">_xlfn.CHOOSECOLS(Scope3_Equations.VEERG_15_14_1_1__1_EmbeddedEmissionsFromUpstreamFreight_Arguments(),1,2)</f>
        <v>W_f</v>
      </c>
      <c r="E616" s="124" t="str">
        <v>total mass of goods transported per freight type f</v>
      </c>
      <c r="F616" s="125"/>
      <c r="G616" s="119" t="str" cm="1">
        <f t="array" ref="G616:H619">_xlfn.CHOOSECOLS(Scope3_Equations.VEERG_15_14_1_1__1_EmbeddedEmissionsFromUpstreamFreight_Arguments(),3,4)</f>
        <v>t</v>
      </c>
      <c r="H616" s="268" t="str">
        <v>Input</v>
      </c>
    </row>
    <row r="617" spans="4:13" x14ac:dyDescent="0.25">
      <c r="D617" s="119" t="str">
        <v>D_f</v>
      </c>
      <c r="E617" s="124" t="str">
        <v>total distance transported per freight type f</v>
      </c>
      <c r="F617" s="125"/>
      <c r="G617" s="119" t="str">
        <v>km</v>
      </c>
      <c r="H617" s="268" t="str">
        <v>Input</v>
      </c>
    </row>
    <row r="618" spans="4:13" x14ac:dyDescent="0.25">
      <c r="D618" s="119" t="str">
        <v>EF_f</v>
      </c>
      <c r="E618" s="124" t="str">
        <v>emission factor for freight type f</v>
      </c>
      <c r="F618" s="125"/>
      <c r="G618" s="119" t="str">
        <v>t CO2e/(t km)</v>
      </c>
      <c r="H618" s="127" t="str">
        <v>Constant</v>
      </c>
    </row>
    <row r="619" spans="4:13" x14ac:dyDescent="0.25">
      <c r="D619" s="119" t="str">
        <v>f</v>
      </c>
      <c r="E619" s="124" t="str">
        <v>freight type</v>
      </c>
      <c r="F619" s="125"/>
      <c r="G619" s="119" t="str">
        <v/>
      </c>
      <c r="H619" s="268" t="str">
        <v>Input</v>
      </c>
    </row>
    <row r="621" spans="4:13" ht="18.75" x14ac:dyDescent="0.25">
      <c r="D621" s="260" t="s">
        <v>1192</v>
      </c>
    </row>
    <row r="623" spans="4:13" ht="17.25" x14ac:dyDescent="0.25">
      <c r="D623" s="81" t="s">
        <v>1330</v>
      </c>
      <c r="E623" s="81" t="s">
        <v>1331</v>
      </c>
      <c r="F623" s="81" t="s">
        <v>1332</v>
      </c>
      <c r="G623" s="123" t="s">
        <v>1333</v>
      </c>
      <c r="H623" s="123" t="s">
        <v>1222</v>
      </c>
      <c r="I623" s="81" t="s">
        <v>1271</v>
      </c>
      <c r="J623" s="123" t="s">
        <v>1225</v>
      </c>
      <c r="K623" s="81" t="s">
        <v>1226</v>
      </c>
      <c r="L623" s="81" t="s">
        <v>1227</v>
      </c>
      <c r="M623" s="81" t="s">
        <v>1228</v>
      </c>
    </row>
    <row r="624" spans="4:13" x14ac:dyDescent="0.25">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1310</v>
      </c>
      <c r="H624" s="15" t="s">
        <v>1310</v>
      </c>
      <c r="I624" s="75">
        <v>10</v>
      </c>
      <c r="J624" s="15" cm="1">
        <f t="array" ref="J624">Scope3_Equations.VEERG_15_14_1_1__1_EmbeddedEmissionsFromUpstreamFreight(E624,F624,I624)</f>
        <v>5127200</v>
      </c>
      <c r="K624" s="33"/>
      <c r="L624" s="13"/>
      <c r="M624" s="33"/>
    </row>
    <row r="625" spans="4:13" x14ac:dyDescent="0.25">
      <c r="D625" s="15" t="str">
        <v>Fertiliser supplier to farm</v>
      </c>
      <c r="E625" s="15">
        <v>10</v>
      </c>
      <c r="F625" s="15">
        <v>390</v>
      </c>
      <c r="G625" s="15" t="s">
        <v>1310</v>
      </c>
      <c r="H625" s="15" t="s">
        <v>1310</v>
      </c>
      <c r="I625" s="75">
        <v>5</v>
      </c>
      <c r="J625" s="15" cm="1">
        <f t="array" ref="J625">Scope3_Equations.VEERG_15_14_1_1__1_EmbeddedEmissionsFromUpstreamFreight(E625,F625,I625)</f>
        <v>19500</v>
      </c>
      <c r="K625" s="33"/>
      <c r="L625" s="13"/>
      <c r="M625" s="33"/>
    </row>
    <row r="626" spans="4:13" x14ac:dyDescent="0.25">
      <c r="D626" s="15">
        <v>0</v>
      </c>
      <c r="E626" s="15">
        <v>0</v>
      </c>
      <c r="F626" s="15">
        <v>0</v>
      </c>
      <c r="G626" s="15" t="s">
        <v>1310</v>
      </c>
      <c r="H626" s="15" t="s">
        <v>1310</v>
      </c>
      <c r="I626" s="75"/>
      <c r="J626" s="15" cm="1">
        <f t="array" ref="J626">Scope3_Equations.VEERG_15_14_1_1__1_EmbeddedEmissionsFromUpstreamFreight(E626,F626,I626)</f>
        <v>0</v>
      </c>
      <c r="K626" s="33"/>
      <c r="L626" s="13"/>
      <c r="M626" s="33"/>
    </row>
    <row r="627" spans="4:13" x14ac:dyDescent="0.25">
      <c r="D627" s="15">
        <v>0</v>
      </c>
      <c r="E627" s="15">
        <v>0</v>
      </c>
      <c r="F627" s="15">
        <v>0</v>
      </c>
      <c r="G627" s="15" t="s">
        <v>1310</v>
      </c>
      <c r="H627" s="15" t="s">
        <v>1310</v>
      </c>
      <c r="I627" s="75"/>
      <c r="J627" s="15" cm="1">
        <f t="array" ref="J627">Scope3_Equations.VEERG_15_14_1_1__1_EmbeddedEmissionsFromUpstreamFreight(E627,F627,I627)</f>
        <v>0</v>
      </c>
      <c r="K627" s="33"/>
      <c r="L627" s="13"/>
      <c r="M627" s="33"/>
    </row>
    <row r="628" spans="4:13" x14ac:dyDescent="0.25">
      <c r="D628" s="15">
        <v>0</v>
      </c>
      <c r="E628" s="15">
        <v>0</v>
      </c>
      <c r="F628" s="15">
        <v>0</v>
      </c>
      <c r="G628" s="15" t="s">
        <v>1310</v>
      </c>
      <c r="H628" s="15" t="s">
        <v>1310</v>
      </c>
      <c r="I628" s="75"/>
      <c r="J628" s="15" cm="1">
        <f t="array" ref="J628">Scope3_Equations.VEERG_15_14_1_1__1_EmbeddedEmissionsFromUpstreamFreight(E628,F628,I628)</f>
        <v>0</v>
      </c>
      <c r="K628" s="33"/>
      <c r="L628" s="13"/>
      <c r="M628" s="33"/>
    </row>
    <row r="629" spans="4:13" x14ac:dyDescent="0.25">
      <c r="D629" s="15">
        <v>0</v>
      </c>
      <c r="E629" s="15">
        <v>0</v>
      </c>
      <c r="F629" s="15">
        <v>0</v>
      </c>
      <c r="G629" s="15" t="s">
        <v>1310</v>
      </c>
      <c r="H629" s="15" t="s">
        <v>1310</v>
      </c>
      <c r="I629" s="75"/>
      <c r="J629" s="15" cm="1">
        <f t="array" ref="J629">Scope3_Equations.VEERG_15_14_1_1__1_EmbeddedEmissionsFromUpstreamFreight(E629,F629,I629)</f>
        <v>0</v>
      </c>
      <c r="K629" s="33"/>
      <c r="L629" s="13"/>
      <c r="M629" s="33"/>
    </row>
    <row r="630" spans="4:13" x14ac:dyDescent="0.25">
      <c r="D630" s="15">
        <v>0</v>
      </c>
      <c r="E630" s="15">
        <v>0</v>
      </c>
      <c r="F630" s="15">
        <v>0</v>
      </c>
      <c r="G630" s="15" t="s">
        <v>1310</v>
      </c>
      <c r="H630" s="15" t="s">
        <v>1310</v>
      </c>
      <c r="I630" s="75"/>
      <c r="J630" s="15" cm="1">
        <f t="array" ref="J630">Scope3_Equations.VEERG_15_14_1_1__1_EmbeddedEmissionsFromUpstreamFreight(E630,F630,I630)</f>
        <v>0</v>
      </c>
      <c r="K630" s="33"/>
      <c r="L630" s="13"/>
      <c r="M630" s="33"/>
    </row>
    <row r="631" spans="4:13" x14ac:dyDescent="0.25">
      <c r="D631" s="15">
        <v>0</v>
      </c>
      <c r="E631" s="15">
        <v>0</v>
      </c>
      <c r="F631" s="15">
        <v>0</v>
      </c>
      <c r="G631" s="15" t="s">
        <v>1310</v>
      </c>
      <c r="H631" s="15" t="s">
        <v>1310</v>
      </c>
      <c r="I631" s="75"/>
      <c r="J631" s="15" cm="1">
        <f t="array" ref="J631">Scope3_Equations.VEERG_15_14_1_1__1_EmbeddedEmissionsFromUpstreamFreight(E631,F631,I631)</f>
        <v>0</v>
      </c>
      <c r="K631" s="33"/>
      <c r="L631" s="13"/>
      <c r="M631" s="33"/>
    </row>
    <row r="632" spans="4:13" x14ac:dyDescent="0.25">
      <c r="D632" s="15">
        <v>0</v>
      </c>
      <c r="E632" s="15">
        <v>0</v>
      </c>
      <c r="F632" s="15">
        <v>0</v>
      </c>
      <c r="G632" s="15" t="s">
        <v>1310</v>
      </c>
      <c r="H632" s="15" t="s">
        <v>1310</v>
      </c>
      <c r="I632" s="75"/>
      <c r="J632" s="15" cm="1">
        <f t="array" ref="J632">Scope3_Equations.VEERG_15_14_1_1__1_EmbeddedEmissionsFromUpstreamFreight(E632,F632,I632)</f>
        <v>0</v>
      </c>
      <c r="K632" s="33"/>
      <c r="L632" s="13"/>
      <c r="M632" s="33"/>
    </row>
    <row r="633" spans="4:13" x14ac:dyDescent="0.25">
      <c r="D633" s="15">
        <v>0</v>
      </c>
      <c r="E633" s="15">
        <v>0</v>
      </c>
      <c r="F633" s="15">
        <v>0</v>
      </c>
      <c r="G633" s="15" t="s">
        <v>1310</v>
      </c>
      <c r="H633" s="15" t="s">
        <v>1310</v>
      </c>
      <c r="I633" s="75"/>
      <c r="J633" s="15" cm="1">
        <f t="array" ref="J633">Scope3_Equations.VEERG_15_14_1_1__1_EmbeddedEmissionsFromUpstreamFreight(E633,F633,I633)</f>
        <v>0</v>
      </c>
      <c r="K633" s="33"/>
      <c r="L633" s="13"/>
      <c r="M633" s="33"/>
    </row>
    <row r="635" spans="4:13" x14ac:dyDescent="0.25">
      <c r="D635" s="93" t="s">
        <v>1334</v>
      </c>
      <c r="E635" s="89" t="s">
        <v>1310</v>
      </c>
      <c r="F635" s="94" t="str">
        <f>$E$105</f>
        <v>t CO2e</v>
      </c>
    </row>
    <row r="636" spans="4:13" x14ac:dyDescent="0.25">
      <c r="D636" s="93" t="s">
        <v>1335</v>
      </c>
      <c r="E636" s="89">
        <f>SUM(J624:J633)</f>
        <v>5146700</v>
      </c>
      <c r="F636" s="94" t="str">
        <f>$E$105</f>
        <v>t CO2e</v>
      </c>
    </row>
    <row r="639" spans="4:13" ht="18.75" x14ac:dyDescent="0.25">
      <c r="D639" s="260" t="s">
        <v>1202</v>
      </c>
    </row>
    <row r="641" spans="4:13" ht="17.25" x14ac:dyDescent="0.25">
      <c r="D641" s="81" t="s">
        <v>1330</v>
      </c>
      <c r="E641" s="81" t="s">
        <v>1331</v>
      </c>
      <c r="F641" s="81" t="s">
        <v>1332</v>
      </c>
      <c r="G641" s="123" t="s">
        <v>1333</v>
      </c>
      <c r="H641" s="123" t="s">
        <v>1222</v>
      </c>
      <c r="I641" s="81" t="s">
        <v>1271</v>
      </c>
      <c r="J641" s="123" t="s">
        <v>1225</v>
      </c>
      <c r="K641" s="81" t="s">
        <v>1226</v>
      </c>
      <c r="L641" s="81" t="s">
        <v>1227</v>
      </c>
      <c r="M641" s="81" t="s">
        <v>1228</v>
      </c>
    </row>
    <row r="642" spans="4:13" x14ac:dyDescent="0.25">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1310</v>
      </c>
      <c r="H642" s="15" t="s">
        <v>1310</v>
      </c>
      <c r="I642" s="75">
        <v>6.4</v>
      </c>
      <c r="J642" s="15" cm="1">
        <f t="array" ref="J642">Scope3_Equations.VEERG_15_14_1_1__1_EmbeddedEmissionsFromUpstreamFreight(E642,F642,I642)</f>
        <v>432640</v>
      </c>
      <c r="K642" s="33"/>
      <c r="L642" s="13"/>
      <c r="M642" s="33"/>
    </row>
    <row r="643" spans="4:13" x14ac:dyDescent="0.25">
      <c r="D643" s="15">
        <v>0</v>
      </c>
      <c r="E643" s="15">
        <v>0</v>
      </c>
      <c r="F643" s="15">
        <v>0</v>
      </c>
      <c r="G643" s="15" t="s">
        <v>1310</v>
      </c>
      <c r="H643" s="15" t="s">
        <v>1310</v>
      </c>
      <c r="I643" s="75"/>
      <c r="J643" s="15" cm="1">
        <f t="array" ref="J643">Scope3_Equations.VEERG_15_14_1_1__1_EmbeddedEmissionsFromUpstreamFreight(E643,F643,I643)</f>
        <v>0</v>
      </c>
      <c r="K643" s="33"/>
      <c r="L643" s="13"/>
      <c r="M643" s="33"/>
    </row>
    <row r="644" spans="4:13" x14ac:dyDescent="0.25">
      <c r="D644" s="15">
        <v>0</v>
      </c>
      <c r="E644" s="15">
        <v>0</v>
      </c>
      <c r="F644" s="15">
        <v>0</v>
      </c>
      <c r="G644" s="15" t="s">
        <v>1310</v>
      </c>
      <c r="H644" s="15" t="s">
        <v>1310</v>
      </c>
      <c r="I644" s="75"/>
      <c r="J644" s="15" cm="1">
        <f t="array" ref="J644">Scope3_Equations.VEERG_15_14_1_1__1_EmbeddedEmissionsFromUpstreamFreight(E644,F644,I644)</f>
        <v>0</v>
      </c>
      <c r="K644" s="33"/>
      <c r="L644" s="13"/>
      <c r="M644" s="33"/>
    </row>
    <row r="645" spans="4:13" x14ac:dyDescent="0.25">
      <c r="D645" s="15">
        <v>0</v>
      </c>
      <c r="E645" s="15">
        <v>0</v>
      </c>
      <c r="F645" s="15">
        <v>0</v>
      </c>
      <c r="G645" s="15" t="s">
        <v>1310</v>
      </c>
      <c r="H645" s="15" t="s">
        <v>1310</v>
      </c>
      <c r="I645" s="75"/>
      <c r="J645" s="15" cm="1">
        <f t="array" ref="J645">Scope3_Equations.VEERG_15_14_1_1__1_EmbeddedEmissionsFromUpstreamFreight(E645,F645,I645)</f>
        <v>0</v>
      </c>
      <c r="K645" s="33"/>
      <c r="L645" s="13"/>
      <c r="M645" s="33"/>
    </row>
    <row r="646" spans="4:13" x14ac:dyDescent="0.25">
      <c r="D646" s="15">
        <v>0</v>
      </c>
      <c r="E646" s="15">
        <v>0</v>
      </c>
      <c r="F646" s="15">
        <v>0</v>
      </c>
      <c r="G646" s="15" t="s">
        <v>1310</v>
      </c>
      <c r="H646" s="15" t="s">
        <v>1310</v>
      </c>
      <c r="I646" s="75"/>
      <c r="J646" s="15" cm="1">
        <f t="array" ref="J646">Scope3_Equations.VEERG_15_14_1_1__1_EmbeddedEmissionsFromUpstreamFreight(E646,F646,I646)</f>
        <v>0</v>
      </c>
      <c r="K646" s="33"/>
      <c r="L646" s="13"/>
      <c r="M646" s="33"/>
    </row>
    <row r="647" spans="4:13" x14ac:dyDescent="0.25">
      <c r="D647" s="15">
        <v>0</v>
      </c>
      <c r="E647" s="15">
        <v>0</v>
      </c>
      <c r="F647" s="15">
        <v>0</v>
      </c>
      <c r="G647" s="15" t="s">
        <v>1310</v>
      </c>
      <c r="H647" s="15" t="s">
        <v>1310</v>
      </c>
      <c r="I647" s="75"/>
      <c r="J647" s="15" cm="1">
        <f t="array" ref="J647">Scope3_Equations.VEERG_15_14_1_1__1_EmbeddedEmissionsFromUpstreamFreight(E647,F647,I647)</f>
        <v>0</v>
      </c>
      <c r="K647" s="33"/>
      <c r="L647" s="13"/>
      <c r="M647" s="33"/>
    </row>
    <row r="648" spans="4:13" x14ac:dyDescent="0.25">
      <c r="D648" s="15">
        <v>0</v>
      </c>
      <c r="E648" s="15">
        <v>0</v>
      </c>
      <c r="F648" s="15">
        <v>0</v>
      </c>
      <c r="G648" s="15" t="s">
        <v>1310</v>
      </c>
      <c r="H648" s="15" t="s">
        <v>1310</v>
      </c>
      <c r="I648" s="75"/>
      <c r="J648" s="15" cm="1">
        <f t="array" ref="J648">Scope3_Equations.VEERG_15_14_1_1__1_EmbeddedEmissionsFromUpstreamFreight(E648,F648,I648)</f>
        <v>0</v>
      </c>
      <c r="K648" s="33"/>
      <c r="L648" s="13"/>
      <c r="M648" s="33"/>
    </row>
    <row r="649" spans="4:13" x14ac:dyDescent="0.25">
      <c r="D649" s="15">
        <v>0</v>
      </c>
      <c r="E649" s="15">
        <v>0</v>
      </c>
      <c r="F649" s="15">
        <v>0</v>
      </c>
      <c r="G649" s="15" t="s">
        <v>1310</v>
      </c>
      <c r="H649" s="15" t="s">
        <v>1310</v>
      </c>
      <c r="I649" s="75"/>
      <c r="J649" s="15" cm="1">
        <f t="array" ref="J649">Scope3_Equations.VEERG_15_14_1_1__1_EmbeddedEmissionsFromUpstreamFreight(E649,F649,I649)</f>
        <v>0</v>
      </c>
      <c r="K649" s="33"/>
      <c r="L649" s="13"/>
      <c r="M649" s="33"/>
    </row>
    <row r="650" spans="4:13" x14ac:dyDescent="0.25">
      <c r="D650" s="15">
        <v>0</v>
      </c>
      <c r="E650" s="15">
        <v>0</v>
      </c>
      <c r="F650" s="15">
        <v>0</v>
      </c>
      <c r="G650" s="15" t="s">
        <v>1310</v>
      </c>
      <c r="H650" s="15" t="s">
        <v>1310</v>
      </c>
      <c r="I650" s="75"/>
      <c r="J650" s="15" cm="1">
        <f t="array" ref="J650">Scope3_Equations.VEERG_15_14_1_1__1_EmbeddedEmissionsFromUpstreamFreight(E650,F650,I650)</f>
        <v>0</v>
      </c>
      <c r="K650" s="33"/>
      <c r="L650" s="13"/>
      <c r="M650" s="33"/>
    </row>
    <row r="651" spans="4:13" x14ac:dyDescent="0.25">
      <c r="D651" s="15">
        <v>0</v>
      </c>
      <c r="E651" s="15">
        <v>0</v>
      </c>
      <c r="F651" s="15">
        <v>0</v>
      </c>
      <c r="G651" s="15" t="s">
        <v>1310</v>
      </c>
      <c r="H651" s="15" t="s">
        <v>1310</v>
      </c>
      <c r="I651" s="75"/>
      <c r="J651" s="15" cm="1">
        <f t="array" ref="J651">Scope3_Equations.VEERG_15_14_1_1__1_EmbeddedEmissionsFromUpstreamFreight(E651,F651,I651)</f>
        <v>0</v>
      </c>
      <c r="K651" s="33"/>
      <c r="L651" s="13"/>
      <c r="M651" s="33"/>
    </row>
    <row r="653" spans="4:13" x14ac:dyDescent="0.25">
      <c r="D653" s="93" t="s">
        <v>1336</v>
      </c>
      <c r="E653" s="89" t="s">
        <v>1310</v>
      </c>
      <c r="F653" s="94" t="str">
        <f>$E$105</f>
        <v>t CO2e</v>
      </c>
    </row>
    <row r="654" spans="4:13" x14ac:dyDescent="0.25">
      <c r="D654" s="93" t="s">
        <v>1337</v>
      </c>
      <c r="E654" s="89">
        <f>SUM(J642:J651)</f>
        <v>432640</v>
      </c>
      <c r="F654" s="94" t="str">
        <f>$E$105</f>
        <v>t CO2e</v>
      </c>
    </row>
    <row r="656" spans="4:13" ht="20.25" x14ac:dyDescent="0.25">
      <c r="D656" s="88" t="s">
        <v>1222</v>
      </c>
      <c r="E656" s="91" t="s">
        <v>1310</v>
      </c>
      <c r="F656" s="90" t="str">
        <f>$E$105</f>
        <v>t CO2e</v>
      </c>
    </row>
    <row r="657" spans="4:6" ht="20.25" x14ac:dyDescent="0.25">
      <c r="D657" s="88" t="s">
        <v>1225</v>
      </c>
      <c r="E657" s="91">
        <f>VEERG_15_14_1_1__1_EmbeddedEmissionsFromUpstreamFreight_Incoming_Result_Method2+VEERG_15_14_1_1__1_EmbeddedEmissionsFromUpstreamFreight_Outgoing_Result_Method2</f>
        <v>5579340</v>
      </c>
      <c r="F657" s="90" t="str">
        <f>$E$105</f>
        <v>t CO2e</v>
      </c>
    </row>
  </sheetData>
  <dataValidations count="2">
    <dataValidation type="list" allowBlank="1" showInputMessage="1" showErrorMessage="1" sqref="J505:J514" xr:uid="{682FDE0A-4DB1-465F-A8FF-A8208EDF90A0}">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51889A7F-DF3C-4DA4-9F7B-3D59D4592B72}">
      <formula1>INDIRECT("Table_SourceData_DataScores_Scope3[Data source]")</formula1>
    </dataValidation>
  </dataValidation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5CDF6-FC82-4EC1-B304-6699C284D1FC}">
  <sheetPr>
    <tabColor theme="9" tint="-0.249977111117893"/>
  </sheetPr>
  <dimension ref="A1:U160"/>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10" width="35" style="1" customWidth="1"/>
    <col min="11" max="11" width="5.28515625" style="1" customWidth="1"/>
    <col min="12" max="12" width="5.28515625" style="254" customWidth="1"/>
    <col min="13" max="13" width="5.28515625" style="1" customWidth="1"/>
    <col min="14" max="20" width="35" style="1" customWidth="1"/>
    <col min="21" max="21" width="5.28515625" style="1" customWidth="1"/>
    <col min="22" max="16384" width="9.140625" style="254"/>
  </cols>
  <sheetData>
    <row r="1" spans="1:21" ht="30" customHeight="1" x14ac:dyDescent="0.35">
      <c r="A1" s="10" t="e" vm="1">
        <v>#VALUE!</v>
      </c>
      <c r="C1" s="20" t="s">
        <v>1338</v>
      </c>
      <c r="D1" s="20"/>
      <c r="E1" s="20"/>
      <c r="F1" s="20"/>
      <c r="G1" s="20"/>
      <c r="H1" s="20"/>
      <c r="I1" s="20"/>
      <c r="J1" s="20"/>
      <c r="K1" s="20"/>
      <c r="M1" s="20"/>
      <c r="N1" s="20"/>
      <c r="O1" s="20"/>
      <c r="P1" s="20"/>
      <c r="Q1" s="20"/>
      <c r="R1" s="20"/>
      <c r="S1" s="20"/>
      <c r="T1" s="20"/>
      <c r="U1" s="20"/>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22"/>
      <c r="D3" s="22" t="s">
        <v>129</v>
      </c>
      <c r="E3" s="22"/>
      <c r="F3" s="22"/>
      <c r="G3" s="22"/>
      <c r="H3" s="22"/>
      <c r="I3" s="22"/>
      <c r="J3" s="22"/>
      <c r="K3" s="22"/>
      <c r="M3" s="22"/>
      <c r="N3" s="22" t="s">
        <v>130</v>
      </c>
      <c r="O3" s="22"/>
      <c r="P3" s="22"/>
      <c r="Q3" s="22"/>
      <c r="R3" s="22"/>
      <c r="S3" s="22"/>
      <c r="T3" s="22"/>
      <c r="U3" s="22"/>
    </row>
    <row r="4" spans="1:21" ht="20.100000000000001" customHeight="1" x14ac:dyDescent="0.25">
      <c r="A4" s="5" t="str">
        <f>HYPERLINK("#'Results - Activity period'!A1", "Results - Activity period")</f>
        <v>Results - Activity period</v>
      </c>
    </row>
    <row r="5" spans="1:21" ht="20.100000000000001" customHeight="1" x14ac:dyDescent="0.25">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s="5" t="str">
        <f>HYPERLINK("#'Results'!A1", "Results")</f>
        <v>Results</v>
      </c>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5">
      <c r="A7"/>
      <c r="D7" s="117" t="s">
        <v>343</v>
      </c>
      <c r="E7" s="117" t="str">
        <f ca="1">Common_InputFunctions.Utility_DisplayFunctionName(VEERG_5_2_1_1__1_OrganicFertiliserApplicationN2OEmissions_Result_Method1)</f>
        <v>=Fertiliser_Equations_OrganicN2O.VEERG_5_2_1_1__1_OrganicFertiliserApplicationN2OEmissions</v>
      </c>
      <c r="N7" s="117" t="s">
        <v>343</v>
      </c>
      <c r="O7" s="117"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row>
    <row r="9" spans="1:21" ht="20.100000000000001" customHeight="1" x14ac:dyDescent="0.25">
      <c r="A9" s="7" t="s">
        <v>0</v>
      </c>
    </row>
    <row r="10" spans="1:21" ht="20.100000000000001" customHeight="1" x14ac:dyDescent="0.25">
      <c r="A10" s="5" t="str">
        <f>HYPERLINK("#'Input - Enterprise'!A1", "Enterprise")</f>
        <v>Enterprise</v>
      </c>
      <c r="D10" s="76" t="s">
        <v>344</v>
      </c>
      <c r="E10" s="1" t="str" cm="1">
        <f t="array" ref="E10">Fertiliser_Equations_OrganicN2O.VEERG_5_2_1_1__1_OrganicFertiliserApplicationN2OEmissions_Variable()</f>
        <v>E_N2O</v>
      </c>
      <c r="N10" s="76" t="s">
        <v>344</v>
      </c>
      <c r="O10" s="1" t="str" cm="1">
        <f t="array" ref="O10">Fertiliser_Equations_OrganicN2O.VEERG_5_2_1_1__1_OrganicFertiliserApplicationN2OEmissions_Variable()</f>
        <v>E_N2O</v>
      </c>
    </row>
    <row r="11" spans="1:21" ht="20.100000000000001" customHeight="1" x14ac:dyDescent="0.25">
      <c r="A11" s="5" t="str">
        <f>HYPERLINK("#'Input - Site'!A1", "Site")</f>
        <v>Site</v>
      </c>
      <c r="D11" s="76" t="s">
        <v>118</v>
      </c>
      <c r="E11" s="9" t="str" cm="1">
        <f t="array" ref="E11">Fertiliser_Equations_OrganicN2O.VEERG_5_2_1_1__1_OrganicFertiliserApplicationN2OEmissions_Unit()</f>
        <v>t N2O</v>
      </c>
      <c r="N11" s="76" t="s">
        <v>118</v>
      </c>
      <c r="O11" s="9" t="str" cm="1">
        <f t="array" ref="O11">Fertiliser_Equations_OrganicN2O.VEERG_5_2_1_1__1_OrganicFertiliserApplicationN2OEmissions_Unit()</f>
        <v>t N2O</v>
      </c>
    </row>
    <row r="12" spans="1:21" ht="20.100000000000001" customHeight="1" x14ac:dyDescent="0.25">
      <c r="A12" s="5" t="str">
        <f>HYPERLINK("#'Input - Dairy'!A1", "Dairy")</f>
        <v>Dairy</v>
      </c>
    </row>
    <row r="13" spans="1:21" ht="20.100000000000001" customHeight="1" x14ac:dyDescent="0.25">
      <c r="A13" s="5" t="str">
        <f>HYPERLINK("#'Input - Livestock sales'!A1", "Livestock sales")</f>
        <v>Livestock sales</v>
      </c>
      <c r="D13" s="119" t="str" cm="1">
        <f t="array" ref="D13:E17">_xlfn.CHOOSECOLS(Fertiliser_Equations_OrganicN2O.VEERG_5_2_1_1__1_OrganicFertiliserApplicationN2OEmissions_Arguments(), 1, 2)</f>
        <v>MNSoil_jf</v>
      </c>
      <c r="E13" s="124" t="str">
        <v>mass of nitrogen in organic fertiliser type f applied to production system j</v>
      </c>
      <c r="F13" s="132"/>
      <c r="G13" s="125"/>
      <c r="H13" s="119" t="str" cm="1">
        <f t="array" ref="H13:I17">_xlfn.CHOOSECOLS(Fertiliser_Equations_OrganicN2O.VEERG_5_2_1_1__1_OrganicFertiliserApplicationN2OEmissions_Arguments(), 3,4)</f>
        <v>kg N</v>
      </c>
      <c r="I13" s="127" t="str">
        <v>Calculated from 5.2.1.1 (2)</v>
      </c>
      <c r="J13" s="119">
        <f>X_Cell_ManureSentOffsite_MassNitrogenManure_Method1</f>
        <v>1000</v>
      </c>
      <c r="N13" s="119" t="str" cm="1">
        <f t="array" ref="N13:O17">_xlfn.CHOOSECOLS(Fertiliser_Equations_OrganicN2O.VEERG_5_2_1_1__1_OrganicFertiliserApplicationN2OEmissions_Arguments(), 1, 2)</f>
        <v>MNSoil_jf</v>
      </c>
      <c r="O13" s="124" t="str">
        <v>mass of nitrogen in organic fertiliser type f applied to production system j</v>
      </c>
      <c r="P13" s="132"/>
      <c r="Q13" s="125"/>
      <c r="R13" s="119" t="str" cm="1">
        <f t="array" ref="R13:S17">_xlfn.CHOOSECOLS(Fertiliser_Equations_OrganicN2O.VEERG_5_2_1_1__1_OrganicFertiliserApplicationN2OEmissions_Arguments(), 3,4)</f>
        <v>kg N</v>
      </c>
      <c r="S13" s="127" t="str">
        <v>Calculated from 5.2.1.1 (2)</v>
      </c>
      <c r="T13" s="119">
        <f>X_Cell_ManureSentOffsite_MassNitrogenManure_Method2</f>
        <v>2000</v>
      </c>
    </row>
    <row r="14" spans="1:21" ht="20.100000000000001" customHeight="1" x14ac:dyDescent="0.25">
      <c r="A14" s="5" t="str">
        <f>HYPERLINK("#'Input - Dairy cattle purchases'!A1", "Dairy cattle purchases")</f>
        <v>Dairy cattle purchases</v>
      </c>
      <c r="D14" s="119" t="str">
        <v>EF_N2Oi</v>
      </c>
      <c r="E14" s="124" t="str">
        <v>emission factor for direct nitrous oxide emissions from organic fertiliser applied to soils and aquatic systems in climate zone i</v>
      </c>
      <c r="F14" s="132"/>
      <c r="G14" s="125"/>
      <c r="H14" s="119" t="str">
        <v>kg N2O-N/kg N</v>
      </c>
      <c r="I14" s="127" t="str">
        <v>Lookup</v>
      </c>
      <c r="J14" s="119">
        <f>Common_InputFunctions.Utility_LookupValueInTableNumber(J17, Table_SourceData_Common_EFOrganicFertCropResidues[Climate Zone],Table_SourceData_Common_EFOrganicFertCropResidues[EFNi &amp; EFN2Oi])</f>
        <v>0</v>
      </c>
      <c r="N14" s="119" t="str">
        <v>EF_N2Oi</v>
      </c>
      <c r="O14" s="124" t="str">
        <v>emission factor for direct nitrous oxide emissions from organic fertiliser applied to soils and aquatic systems in climate zone i</v>
      </c>
      <c r="P14" s="132"/>
      <c r="Q14" s="125"/>
      <c r="R14" s="119" t="str">
        <v>kg N2O-N/kg N</v>
      </c>
      <c r="S14" s="127" t="str">
        <v>Lookup</v>
      </c>
      <c r="T14" s="119"/>
    </row>
    <row r="15" spans="1:21" ht="20.100000000000001" customHeight="1" x14ac:dyDescent="0.25">
      <c r="A15" s="5" t="str">
        <f>HYPERLINK("#'Input - Pasture'!A1", "Pasture")</f>
        <v>Pasture</v>
      </c>
      <c r="D15" s="119" t="str">
        <v>C_N2O</v>
      </c>
      <c r="E15" s="124" t="str">
        <v>factor to convert elemental mass of nitrous oxide to molecular mass</v>
      </c>
      <c r="F15" s="132"/>
      <c r="G15" s="125"/>
      <c r="H15" s="119" t="str">
        <v/>
      </c>
      <c r="I15" s="127" t="str">
        <v>Constant</v>
      </c>
      <c r="J15" s="119">
        <f>Common_InputFunctions.Utility_LookupValueInTableNumber("N2O",Table_GasToMolecularConversionFactor[Gas],Table_GasToMolecularConversionFactor[Conversion factor combined])</f>
        <v>1.5714285714285714</v>
      </c>
      <c r="N15" s="119" t="str">
        <v>C_N2O</v>
      </c>
      <c r="O15" s="124" t="str">
        <v>factor to convert elemental mass of nitrous oxide to molecular mass</v>
      </c>
      <c r="P15" s="132"/>
      <c r="Q15" s="125"/>
      <c r="R15" s="119" t="str">
        <v/>
      </c>
      <c r="S15" s="127" t="str">
        <v>Constant</v>
      </c>
      <c r="T15" s="119"/>
    </row>
    <row r="16" spans="1:21" ht="20.100000000000001" customHeight="1" x14ac:dyDescent="0.25">
      <c r="A16" s="5" t="str">
        <f>HYPERLINK("#'Input - Fert Prod System'!A1", "Fert Prod System")</f>
        <v>Fert Prod System</v>
      </c>
      <c r="D16" s="119" t="str">
        <v>j</v>
      </c>
      <c r="E16" s="124" t="str">
        <v>Production system</v>
      </c>
      <c r="F16" s="132"/>
      <c r="G16" s="125"/>
      <c r="H16" s="119" t="str">
        <v/>
      </c>
      <c r="I16" s="268" t="str">
        <v>Input</v>
      </c>
      <c r="J16" s="119" t="str">
        <f>X_Cell_ManureSentOffsite_ManureProductionSystem</f>
        <v>Crop</v>
      </c>
      <c r="N16" s="119" t="str">
        <v>j</v>
      </c>
      <c r="O16" s="124" t="str">
        <v>Production system</v>
      </c>
      <c r="P16" s="132"/>
      <c r="Q16" s="125"/>
      <c r="R16" s="119" t="str">
        <v/>
      </c>
      <c r="S16" s="268" t="str">
        <v>Input</v>
      </c>
      <c r="T16" s="119"/>
    </row>
    <row r="17" spans="1:20" ht="20.100000000000001" customHeight="1" x14ac:dyDescent="0.25">
      <c r="A17" s="5" t="str">
        <f>HYPERLINK("#'Input - Fertiliser'!A1", "Fertiliser")</f>
        <v>Fertiliser</v>
      </c>
      <c r="D17" s="119" t="str">
        <v>i</v>
      </c>
      <c r="E17" s="124" t="str">
        <v>Wet or dry climate zone</v>
      </c>
      <c r="F17" s="132"/>
      <c r="G17" s="125"/>
      <c r="H17" s="119" t="str">
        <v/>
      </c>
      <c r="I17" s="268" t="str">
        <v>Input</v>
      </c>
      <c r="J17" s="119">
        <f>X_Cell_Site_WetOrDryClimateZone</f>
        <v>0</v>
      </c>
      <c r="N17" s="119" t="str">
        <v>i</v>
      </c>
      <c r="O17" s="124" t="str">
        <v>Wet or dry climate zone</v>
      </c>
      <c r="P17" s="132"/>
      <c r="Q17" s="125"/>
      <c r="R17" s="119" t="str">
        <v/>
      </c>
      <c r="S17" s="268" t="str">
        <v>Input</v>
      </c>
      <c r="T17" s="119"/>
    </row>
    <row r="18" spans="1:20" ht="20.100000000000001" customHeight="1" x14ac:dyDescent="0.25">
      <c r="A18" s="5" t="str">
        <f>HYPERLINK("#'Input - Fuel'!A1", "Fuel")</f>
        <v>Fuel</v>
      </c>
    </row>
    <row r="19" spans="1:20" ht="20.100000000000001" customHeight="1" x14ac:dyDescent="0.25">
      <c r="A19" s="5" t="str">
        <f>HYPERLINK("#'Input - Electricity'!A1", "Electricity")</f>
        <v>Electricity</v>
      </c>
      <c r="D19" s="88" t="s">
        <v>727</v>
      </c>
      <c r="E19" s="91" cm="1">
        <f t="array" ref="E19">Fertiliser_Equations_OrganicN2O.VEERG_5_2_1_1__1_OrganicFertiliserApplicationN2OEmissions(J13,J14,J15)</f>
        <v>0</v>
      </c>
      <c r="F19" s="90" t="str">
        <f>$E$11</f>
        <v>t N2O</v>
      </c>
      <c r="N19" s="88" t="s">
        <v>727</v>
      </c>
      <c r="O19" s="91" cm="1">
        <f t="array" ref="O19">Fertiliser_Equations_OrganicN2O.VEERG_5_2_1_1__1_OrganicFertiliserApplicationN2OEmissions(T13,J14,J15)</f>
        <v>0</v>
      </c>
      <c r="P19" s="90" t="str">
        <f>$E$11</f>
        <v>t N2O</v>
      </c>
    </row>
    <row r="20" spans="1:20" ht="20.100000000000001" customHeight="1" x14ac:dyDescent="0.25">
      <c r="A20" s="5" t="str">
        <f>HYPERLINK("#'Input - Common farm inputs'!A1", "Common farm inputs")</f>
        <v>Common farm inputs</v>
      </c>
    </row>
    <row r="21" spans="1:20" ht="20.100000000000001" customHeight="1" x14ac:dyDescent="0.25">
      <c r="A21" s="5" t="str">
        <f>HYPERLINK("#'Input - Crop pasture farm input'!A1", "Crop pasture farm input")</f>
        <v>Crop pasture farm input</v>
      </c>
    </row>
    <row r="22" spans="1:20" ht="20.100000000000001" customHeight="1" x14ac:dyDescent="0.25">
      <c r="A22" s="5" t="str">
        <f>HYPERLINK("#'Input - Livestock farm Inputs'!A1", "Livestock farm Inputs")</f>
        <v>Livestock farm Inputs</v>
      </c>
    </row>
    <row r="23" spans="1:20" ht="20.100000000000001" customHeight="1" x14ac:dyDescent="0.25">
      <c r="A23" s="5" t="str">
        <f>HYPERLINK("#'Input - Freight'!A1", "Freight")</f>
        <v>Freight</v>
      </c>
    </row>
    <row r="24" spans="1:20" ht="20.100000000000001" customHeight="1" x14ac:dyDescent="0.25">
      <c r="A24" s="5" t="str">
        <f>HYPERLINK("#'Input - Solid waste'!A1", "Solid waste")</f>
        <v>Solid waste</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HYPERLINK("#'Input - Manure sent off-site'!A1", "Manure sent off-site")</f>
        <v>Manure sent off-site</v>
      </c>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5">
      <c r="A26" s="5" t="str">
        <f>HYPERLINK("#'Input - Data quality'!A1", "Data quality")</f>
        <v>Data quality</v>
      </c>
      <c r="D26" s="117" t="s">
        <v>343</v>
      </c>
      <c r="E26" s="117" t="str" cm="1">
        <f t="array" aca="1" ref="E26" ca="1">Common_InputFunctions.Utility_DisplayFunctionName(E35)</f>
        <v>=Fertiliser_Equations_AtmosphericDeposition.VEERG_5_4_1_3__2_MassOfNitrogenVolatilisedFromOrganicFertiliser</v>
      </c>
      <c r="N26" s="117" t="s">
        <v>343</v>
      </c>
      <c r="O26" s="117" t="str" cm="1">
        <f t="array" aca="1" ref="O26" ca="1">Common_InputFunctions.Utility_DisplayFunctionName(O35)</f>
        <v>=Fertiliser_Equations_AtmosphericDeposition.VEERG_5_4_1_3__2_MassOfNitrogenVolatilisedFromOrganicFertiliser</v>
      </c>
    </row>
    <row r="27" spans="1:20" ht="20.100000000000001" customHeight="1" x14ac:dyDescent="0.25">
      <c r="A27"/>
    </row>
    <row r="28" spans="1:20" ht="20.100000000000001" customHeight="1" x14ac:dyDescent="0.25">
      <c r="A28"/>
    </row>
    <row r="29" spans="1:20" ht="20.100000000000001" customHeight="1" x14ac:dyDescent="0.25">
      <c r="A29" s="6" t="s">
        <v>2</v>
      </c>
      <c r="D29" s="76" t="s">
        <v>344</v>
      </c>
      <c r="E29" s="1" t="str" cm="1">
        <f t="array" ref="E29">Fertiliser_Equations_AtmosphericDeposition.VEERG_5_4_1_3__2_MassOfNitrogenVolatilisedFromOrganicFertiliser_Variable()</f>
        <v>M_volorganicjf</v>
      </c>
      <c r="N29" s="76" t="s">
        <v>344</v>
      </c>
      <c r="O29" s="1" t="str" cm="1">
        <f t="array" ref="O29">Fertiliser_Equations_AtmosphericDeposition.VEERG_5_4_1_3__2_MassOfNitrogenVolatilisedFromOrganicFertiliser_Variable()</f>
        <v>M_volorganicjf</v>
      </c>
    </row>
    <row r="30" spans="1:20" ht="20.100000000000001" customHeight="1" x14ac:dyDescent="0.25">
      <c r="A30" s="5" t="str">
        <f>HYPERLINK("#'3.3.1.1-2 Enteric Methane'!A1", "3.3.1.1-2 Enteric methane")</f>
        <v>3.3.1.1-2 Enteric methane</v>
      </c>
      <c r="D30" s="76" t="s">
        <v>118</v>
      </c>
      <c r="E30" s="9" t="str" cm="1">
        <f t="array" ref="E30">Fertiliser_Equations_AtmosphericDeposition.VEERG_5_4_1_3__2_MassOfNitrogenVolatilisedFromOrganicFertiliser_Unit()</f>
        <v>kg N</v>
      </c>
      <c r="N30" s="76" t="s">
        <v>118</v>
      </c>
      <c r="O30" s="9" t="str" cm="1">
        <f t="array" ref="O30">Fertiliser_Equations_AtmosphericDeposition.VEERG_5_4_1_3__2_MassOfNitrogenVolatilisedFromOrganicFertiliser_Unit()</f>
        <v>kg N</v>
      </c>
    </row>
    <row r="31" spans="1:20" ht="20.100000000000001" customHeight="1" x14ac:dyDescent="0.25">
      <c r="A31" s="5" t="str">
        <f>HYPERLINK("#'4.3.1.1-2 Methane'!A1", "4.3.1.1-2 Manure methane")</f>
        <v>4.3.1.1-2 Manure methane</v>
      </c>
    </row>
    <row r="32" spans="1:20" ht="20.100000000000001" customHeight="1" x14ac:dyDescent="0.25">
      <c r="A32" s="5" t="str">
        <f>HYPERLINK("#'4.3.1.3-4 Direct N20'!A1", "4.3.1.3-4 Direct N20")</f>
        <v>4.3.1.3-4 Direct N20</v>
      </c>
      <c r="D32" s="119" t="str" cm="1">
        <f t="array" ref="D32:E33">_xlfn.CHOOSECOLS(Fertiliser_Equations_AtmosphericDeposition.VEERG_5_4_1_3__2_MassOfNitrogenVolatilisedFromOrganicFertiliser_Arguments(), 1, 2)</f>
        <v>MNSoil_jf</v>
      </c>
      <c r="E32" s="119" t="str">
        <v>mass of nitrogen in organic fertiliser type f applied to production system j</v>
      </c>
      <c r="F32" s="119"/>
      <c r="G32" s="119" t="str" cm="1">
        <f t="array" ref="G32:H33">_xlfn.CHOOSECOLS(Fertiliser_Equations_AtmosphericDeposition.VEERG_5_4_1_3__2_MassOfNitrogenVolatilisedFromOrganicFertiliser_Arguments(), 3,4)</f>
        <v>kg N</v>
      </c>
      <c r="H32" s="127" t="str">
        <v>Calculated from 5.2.1.1 (2)</v>
      </c>
      <c r="I32" s="119">
        <f>X_Cell_ManureSentOffsite_MassNitrogenManure_Method1</f>
        <v>1000</v>
      </c>
      <c r="N32" s="119" t="str" cm="1">
        <f t="array" ref="N32:O33">_xlfn.CHOOSECOLS(Fertiliser_Equations_AtmosphericDeposition.VEERG_5_4_1_3__2_MassOfNitrogenVolatilisedFromOrganicFertiliser_Arguments(), 1, 2)</f>
        <v>MNSoil_jf</v>
      </c>
      <c r="O32" s="119" t="str">
        <v>mass of nitrogen in organic fertiliser type f applied to production system j</v>
      </c>
      <c r="P32" s="119"/>
      <c r="Q32" s="119" t="str" cm="1">
        <f t="array" ref="Q32:R33">_xlfn.CHOOSECOLS(Fertiliser_Equations_AtmosphericDeposition.VEERG_5_4_1_3__2_MassOfNitrogenVolatilisedFromOrganicFertiliser_Arguments(), 3,4)</f>
        <v>kg N</v>
      </c>
      <c r="R32" s="127" t="str">
        <v>Calculated from 5.2.1.1 (2)</v>
      </c>
      <c r="S32" s="119">
        <f>X_Cell_ManureSentOffsite_MassNitrogenManure_Method2</f>
        <v>2000</v>
      </c>
    </row>
    <row r="33" spans="1:19" ht="20.100000000000001" customHeight="1" x14ac:dyDescent="0.25">
      <c r="A33" s="5" t="str">
        <f>HYPERLINK("#'4.3.1.5 Atmos deposition'!A1", "4.3.1.5 Atmos deposition")</f>
        <v>4.3.1.5 Atmos deposition</v>
      </c>
      <c r="D33" s="119" t="str">
        <v>FracGASM_soil</v>
      </c>
      <c r="E33" s="119" t="str">
        <v>fraction of organic fertiliser N that volatilises</v>
      </c>
      <c r="F33" s="119"/>
      <c r="G33" s="119" t="str">
        <v>(kg NH3-N + NOx-N)/kg N</v>
      </c>
      <c r="H33" s="127" t="str">
        <v>Constant</v>
      </c>
      <c r="I33" s="119">
        <f>Fertiliser_FracGASMSoil_Data</f>
        <v>0.21</v>
      </c>
      <c r="N33" s="119" t="str">
        <v>FracGASM_soil</v>
      </c>
      <c r="O33" s="119" t="str">
        <v>fraction of organic fertiliser N that volatilises</v>
      </c>
      <c r="P33" s="119"/>
      <c r="Q33" s="119" t="str">
        <v>(kg NH3-N + NOx-N)/kg N</v>
      </c>
      <c r="R33" s="127" t="str">
        <v>Constant</v>
      </c>
      <c r="S33" s="119"/>
    </row>
    <row r="34" spans="1:19" ht="20.100000000000001" customHeight="1" x14ac:dyDescent="0.25">
      <c r="A34" s="5" t="str">
        <f>HYPERLINK("#'4.3.1.6-7 Leaching and runoff'!A1", "4.3.1.6-7 Leaching &amp; runoff")</f>
        <v>4.3.1.6-7 Leaching &amp; runoff</v>
      </c>
    </row>
    <row r="35" spans="1:19" ht="20.100000000000001" customHeight="1" x14ac:dyDescent="0.25">
      <c r="A35" s="5" t="str">
        <f>HYPERLINK("#'4.3.1.8 Manure applied to soils'!A1", "4.3.1.8 Manure applied to soils")</f>
        <v>4.3.1.8 Manure applied to soils</v>
      </c>
      <c r="D35" s="93" t="s">
        <v>1339</v>
      </c>
      <c r="E35" s="89" cm="1">
        <f t="array" ref="E35">Fertiliser_Equations_AtmosphericDeposition.VEERG_5_4_1_3__2_MassOfNitrogenVolatilisedFromOrganicFertiliser(I32,I33)</f>
        <v>210</v>
      </c>
      <c r="F35" s="94" t="str">
        <f>E30</f>
        <v>kg N</v>
      </c>
      <c r="N35" s="93" t="s">
        <v>1339</v>
      </c>
      <c r="O35" s="89" cm="1">
        <f t="array" ref="O35">Fertiliser_Equations_AtmosphericDeposition.VEERG_5_4_1_3__2_MassOfNitrogenVolatilisedFromOrganicFertiliser(S32,I33)</f>
        <v>420</v>
      </c>
      <c r="P35" s="94" t="str">
        <f>O30</f>
        <v>kg N</v>
      </c>
    </row>
    <row r="36" spans="1:19" ht="20.100000000000001" customHeight="1" x14ac:dyDescent="0.25">
      <c r="A36" s="5" t="str">
        <f>HYPERLINK("#'4.3.1.9 Soil direct N2O'!A1", "4.3.1.9 Soil direct N2O")</f>
        <v>4.3.1.9 Soil direct N2O</v>
      </c>
    </row>
    <row r="37" spans="1:19" ht="20.100000000000001" customHeight="1" x14ac:dyDescent="0.25">
      <c r="A37" s="5" t="str">
        <f>HYPERLINK("#'4.3.1.10-11 Soil Atmos Dep'!A1", "4.3.1.10-11 Soil Atmos Deposition")</f>
        <v>4.3.1.10-11 Soil Atmos Deposition</v>
      </c>
    </row>
    <row r="38" spans="1:19" ht="20.100000000000001" customHeight="1" x14ac:dyDescent="0.25">
      <c r="A38" s="5" t="str">
        <f>HYPERLINK("#'4.3.1.12-13 Soil leach runoff'!A1", "4.3.1.12-13 Soil leach &amp; runoff")</f>
        <v>4.3.1.12-13 Soil leach &amp; runoff</v>
      </c>
    </row>
    <row r="39" spans="1:19" ht="20.100000000000001" customHeight="1" x14ac:dyDescent="0.25">
      <c r="A39" s="5" t="str">
        <f>HYPERLINK("#'5.1.1.1-2 Inorganic fert N2O'!A1", "5.1.1.1-2 Inorganic fert N2O")</f>
        <v>5.1.1.1-2 Inorganic fert N2O</v>
      </c>
    </row>
    <row r="40" spans="1:19" ht="20.100000000000001" customHeight="1" x14ac:dyDescent="0.25">
      <c r="A40" s="5" t="str">
        <f>HYPERLINK("#'5.1.1.3-4 Inorganic fert CO2'!A1", "5.1.1.3-4 Inorganic fert CO2")</f>
        <v>5.1.1.3-4 Inorganic fert CO2</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5" t="str">
        <f>HYPERLINK("#'5.2.1.1-2 Organic Fert N2O'!A1", "5.2.1.1-2 Organic fert N2O")</f>
        <v>5.2.1.1-2 Organic fert N2O</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5">
      <c r="A42" s="5" t="str">
        <f>HYPERLINK("#'5.3.1.1-2 Lime CO2'!A1", "5.3.1.1-2 Lime CO2")</f>
        <v>5.3.1.1-2 Lime CO2</v>
      </c>
      <c r="D42" s="117" t="s">
        <v>343</v>
      </c>
      <c r="E42" s="117" t="str">
        <f ca="1">Common_InputFunctions.Utility_DisplayFunctionName(VEERG_5_4_1_3__1_OrganicFertiliserAtmosphericDepositionN2OEmissions_Result_Method1)</f>
        <v>=Fertiliser_Equations_AtmosphericDeposition.VEERG_5_4_1_3__1_OrganicFertiliserAtmosphericDepositionN2OEmissions</v>
      </c>
      <c r="N42" s="117" t="s">
        <v>343</v>
      </c>
      <c r="O42" s="117"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HYPERLINK("#'5.4.1.1-4 Atmos deposition'!A1", "5.4.1.1-4 Atmos. deposition")</f>
        <v>5.4.1.1-4 Atmos. deposition</v>
      </c>
    </row>
    <row r="44" spans="1:19" ht="20.100000000000001" customHeight="1" x14ac:dyDescent="0.25">
      <c r="A44" s="5" t="str">
        <f>HYPERLINK("#'5.5.1.1-2 Leaching and runoff'!A1", "5.5.1.1-2 Leaching &amp; runoff")</f>
        <v>5.5.1.1-2 Leaching &amp; runoff</v>
      </c>
    </row>
    <row r="45" spans="1:19" ht="20.100000000000001" customHeight="1" x14ac:dyDescent="0.25">
      <c r="A45" s="5" t="str">
        <f>HYPERLINK("#'6.2.1.1-2 Pasture residue N2O'!A1", "6.2.1.1-2 Pasture residue N2O")</f>
        <v>6.2.1.1-2 Pasture residue N2O</v>
      </c>
      <c r="D45" s="76" t="s">
        <v>344</v>
      </c>
      <c r="E45" s="1" t="str" cm="1">
        <f t="array" ref="E45">Fertiliser_Equations_AtmosphericDeposition.VEERG_5_4_1_3__1_OrganicFertiliserAtmosphericDepositionN2OEmissions_Variable()</f>
        <v>E_adorganic</v>
      </c>
      <c r="N45" s="76" t="s">
        <v>344</v>
      </c>
      <c r="O45" s="1" t="str" cm="1">
        <f t="array" ref="O45">Fertiliser_Equations_AtmosphericDeposition.VEERG_5_4_1_3__1_OrganicFertiliserAtmosphericDepositionN2OEmissions_Variable()</f>
        <v>E_adorganic</v>
      </c>
    </row>
    <row r="46" spans="1:19" ht="20.100000000000001" customHeight="1" x14ac:dyDescent="0.25">
      <c r="A46" s="5" t="str">
        <f>HYPERLINK("#'6.3.1.1-2 Leach runoff pasture'!A1", "6.3.1.1-2 Leach &amp; runoff (pasture)")</f>
        <v>6.3.1.1-2 Leach &amp; runoff (pasture)</v>
      </c>
      <c r="D46" s="76" t="s">
        <v>118</v>
      </c>
      <c r="E46" s="9" t="str" cm="1">
        <f t="array" ref="E46">Fertiliser_Equations_AtmosphericDeposition.VEERG_5_4_1_3__1_OrganicFertiliserAtmosphericDepositionN2OEmissions_Unit()</f>
        <v>t N2O</v>
      </c>
      <c r="N46" s="76" t="s">
        <v>118</v>
      </c>
      <c r="O46" s="9" t="str" cm="1">
        <f t="array" ref="O46">Fertiliser_Equations_AtmosphericDeposition.VEERG_5_4_1_3__1_OrganicFertiliserAtmosphericDepositionN2OEmissions_Unit()</f>
        <v>t N2O</v>
      </c>
    </row>
    <row r="47" spans="1:19" ht="20.100000000000001" customHeight="1" x14ac:dyDescent="0.25">
      <c r="A47" s="5" t="str">
        <f>HYPERLINK("#'8.1.1.1-2 Transport fuel'!A1", "8.1.1.1-2 Transport fuel")</f>
        <v>8.1.1.1-2 Transport fuel</v>
      </c>
    </row>
    <row r="48" spans="1:19" ht="20.100000000000001" customHeight="1" x14ac:dyDescent="0.25">
      <c r="A48" s="5" t="str">
        <f>HYPERLINK("#'8.2.1.1-2 Stationary fuel'!A1", "8.2.1.1-2 Stationary fuel")</f>
        <v>8.2.1.1-2 Stationary fuel</v>
      </c>
      <c r="D48" s="119" t="str" cm="1">
        <f t="array" ref="D48:E53">_xlfn.CHOOSECOLS(Fertiliser_Equations_AtmosphericDeposition.VEERG_5_4_1_3__1_OrganicFertiliserAtmosphericDepositionN2OEmissions_Arguments(), 1, 2)</f>
        <v>M_volorganicjf</v>
      </c>
      <c r="E48" s="124" t="str">
        <v>mass of nitrogen volatilised from organic fertiliser applied to production system</v>
      </c>
      <c r="F48" s="125"/>
      <c r="G48" s="119" t="str" cm="1">
        <f t="array" ref="G48:H53">_xlfn.CHOOSECOLS(Fertiliser_Equations_AtmosphericDeposition.VEERG_5_4_1_3__1_OrganicFertiliserAtmosphericDepositionN2OEmissions_Arguments(), 3,4)</f>
        <v>kg N</v>
      </c>
      <c r="H48" s="127" t="str">
        <v>Calculated from 5.4.1.3 (2)</v>
      </c>
      <c r="I48" s="119">
        <f>E35</f>
        <v>210</v>
      </c>
      <c r="N48" s="119" t="str" cm="1">
        <f t="array" ref="N48:O53">_xlfn.CHOOSECOLS(Fertiliser_Equations_AtmosphericDeposition.VEERG_5_4_1_3__1_OrganicFertiliserAtmosphericDepositionN2OEmissions_Arguments(), 1, 2)</f>
        <v>M_volorganicjf</v>
      </c>
      <c r="O48" s="124" t="str">
        <v>mass of nitrogen volatilised from organic fertiliser applied to production system</v>
      </c>
      <c r="P48" s="125"/>
      <c r="Q48" s="119" t="str" cm="1">
        <f t="array" ref="Q48:R53">_xlfn.CHOOSECOLS(Fertiliser_Equations_AtmosphericDeposition.VEERG_5_4_1_3__1_OrganicFertiliserAtmosphericDepositionN2OEmissions_Arguments(), 3,4)</f>
        <v>kg N</v>
      </c>
      <c r="R48" s="127" t="str">
        <v>Calculated from 5.4.1.3 (2)</v>
      </c>
      <c r="S48" s="119">
        <f>O35</f>
        <v>420</v>
      </c>
    </row>
    <row r="49" spans="1:19" ht="20.100000000000001" customHeight="1" x14ac:dyDescent="0.25">
      <c r="A49" s="5" t="str">
        <f>HYPERLINK("#'10.1.1-2 Solid waste treatment'!A1", "10.1.1.1-2 Solid waste")</f>
        <v>10.1.1.1-2 Solid waste</v>
      </c>
      <c r="D49" s="119" t="str">
        <v>EF_N2Oj</v>
      </c>
      <c r="E49" s="124" t="str">
        <v>emission factor for atmospheric deposition in production system j</v>
      </c>
      <c r="F49" s="125"/>
      <c r="G49" s="119" t="str">
        <v>kg N2O-N/kg N</v>
      </c>
      <c r="H49" s="127" t="str">
        <v>Constant</v>
      </c>
      <c r="I49" s="119">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9" t="str">
        <v>EF_N2Oj</v>
      </c>
      <c r="O49" s="124" t="str">
        <v>emission factor for atmospheric deposition in production system j</v>
      </c>
      <c r="P49" s="125"/>
      <c r="Q49" s="119" t="str">
        <v>kg N2O-N/kg N</v>
      </c>
      <c r="R49" s="127" t="str">
        <v>Constant</v>
      </c>
      <c r="S49" s="119"/>
    </row>
    <row r="50" spans="1:19" ht="20.100000000000001" customHeight="1" x14ac:dyDescent="0.25">
      <c r="A50" s="5" t="str">
        <f>HYPERLINK("#'14.1.1-2 Purchased electricity'!A1", "14.1.1-2 Purchased electricity")</f>
        <v>14.1.1-2 Purchased electricity</v>
      </c>
      <c r="D50" s="119" t="str">
        <v>C_N2O</v>
      </c>
      <c r="E50" s="124" t="str">
        <v>factor to convert elemental mass of nitrous oxide to molecular mass</v>
      </c>
      <c r="F50" s="125"/>
      <c r="G50" s="119" t="str">
        <v/>
      </c>
      <c r="H50" s="127" t="str">
        <v>Constant</v>
      </c>
      <c r="I50" s="131">
        <f>Common_InputFunctions.Utility_LookupValueInTableNumber("N2O",Table_GasToMolecularConversionFactor[Gas],Table_GasToMolecularConversionFactor[Conversion factor combined])</f>
        <v>1.5714285714285714</v>
      </c>
      <c r="N50" s="119" t="str">
        <v>C_N2O</v>
      </c>
      <c r="O50" s="124" t="str">
        <v>factor to convert elemental mass of nitrous oxide to molecular mass</v>
      </c>
      <c r="P50" s="125"/>
      <c r="Q50" s="119" t="str">
        <v/>
      </c>
      <c r="R50" s="127" t="str">
        <v>Constant</v>
      </c>
      <c r="S50" s="131"/>
    </row>
    <row r="51" spans="1:19" ht="20.100000000000001" customHeight="1" x14ac:dyDescent="0.25">
      <c r="A51" s="5" t="str">
        <f>HYPERLINK("#'15 Scope 3'!A1", "15 Scope 3")</f>
        <v>15 Scope 3</v>
      </c>
      <c r="D51" s="119" t="str">
        <v>j</v>
      </c>
      <c r="E51" s="124" t="str">
        <v>Production system</v>
      </c>
      <c r="F51" s="125"/>
      <c r="G51" s="119" t="str">
        <v/>
      </c>
      <c r="H51" s="268" t="str">
        <v>Input</v>
      </c>
      <c r="I51" s="119" t="str">
        <f>IF(ISBLANK(X_Cell_ManureSentOffsite_ManureProductionSystem), "Pasture", X_Cell_ManureSentOffsite_ManureProductionSystem)</f>
        <v>Crop</v>
      </c>
      <c r="N51" s="119" t="str">
        <v>j</v>
      </c>
      <c r="O51" s="124" t="str">
        <v>Production system</v>
      </c>
      <c r="P51" s="125"/>
      <c r="Q51" s="119" t="str">
        <v/>
      </c>
      <c r="R51" s="268" t="str">
        <v>Input</v>
      </c>
      <c r="S51" s="119"/>
    </row>
    <row r="52" spans="1:19" ht="20.100000000000001" customHeight="1" x14ac:dyDescent="0.25">
      <c r="A52" s="118" t="str">
        <f>HYPERLINK("#'Calcs - Manure sent off-site'!A1", "Calcs - Manure sent off-site")</f>
        <v>Calcs - Manure sent off-site</v>
      </c>
      <c r="D52" s="119" t="str">
        <v>ir</v>
      </c>
      <c r="E52" s="124" t="str">
        <v>irrigation method</v>
      </c>
      <c r="F52" s="125"/>
      <c r="G52" s="119" t="str">
        <v/>
      </c>
      <c r="H52" s="268" t="str">
        <v>Input</v>
      </c>
      <c r="I52" s="119" t="str">
        <f>IF(ISBLANK(X_Cell_ManureSentOffsite_ManureIrrigationMethod), "Not irrigated", X_Cell_ManureSentOffsite_ManureIrrigationMethod)</f>
        <v>Sprinkler irrigation</v>
      </c>
      <c r="N52" s="119" t="str">
        <v>ir</v>
      </c>
      <c r="O52" s="124" t="str">
        <v>irrigation method</v>
      </c>
      <c r="P52" s="125"/>
      <c r="Q52" s="119" t="str">
        <v/>
      </c>
      <c r="R52" s="268" t="str">
        <v>Input</v>
      </c>
      <c r="S52" s="119"/>
    </row>
    <row r="53" spans="1:19" ht="20.100000000000001" customHeight="1" x14ac:dyDescent="0.25">
      <c r="A53"/>
      <c r="D53" s="119" t="str">
        <v>r</v>
      </c>
      <c r="E53" s="124" t="str">
        <v>rainfall region</v>
      </c>
      <c r="F53" s="125"/>
      <c r="G53" s="119" t="str">
        <v/>
      </c>
      <c r="H53" s="268" t="str">
        <v>Input</v>
      </c>
      <c r="I53" s="119" t="str">
        <f>IF(ISBLANK(X_Cell_Site_RainfallZone), "Low rainfall", X_Cell_Site_RainfallZone)</f>
        <v>Low rainfall</v>
      </c>
      <c r="N53" s="119" t="str">
        <v>r</v>
      </c>
      <c r="O53" s="124" t="str">
        <v>rainfall region</v>
      </c>
      <c r="P53" s="125"/>
      <c r="Q53" s="119" t="str">
        <v/>
      </c>
      <c r="R53" s="268" t="str">
        <v>Input</v>
      </c>
      <c r="S53" s="119"/>
    </row>
    <row r="54" spans="1:19" ht="20.100000000000001" customHeight="1" x14ac:dyDescent="0.25">
      <c r="A54"/>
    </row>
    <row r="55" spans="1:19" ht="20.100000000000001" customHeight="1" x14ac:dyDescent="0.25">
      <c r="A55" s="83" t="s">
        <v>1</v>
      </c>
      <c r="D55" s="88" t="s">
        <v>773</v>
      </c>
      <c r="E55" s="91" cm="1">
        <f t="array" ref="E55">Fertiliser_Equations_AtmosphericDeposition.VEERG_5_4_1_3__1_OrganicFertiliserAtmosphericDepositionN2OEmissions(I48,I49,I50)</f>
        <v>2.31E-3</v>
      </c>
      <c r="F55" s="90" t="str">
        <f>$E$46</f>
        <v>t N2O</v>
      </c>
      <c r="N55" s="88" t="s">
        <v>773</v>
      </c>
      <c r="O55" s="91" cm="1">
        <f t="array" ref="O55">Fertiliser_Equations_AtmosphericDeposition.VEERG_5_4_1_3__1_OrganicFertiliserAtmosphericDepositionN2OEmissions(S48,I49,I50)</f>
        <v>4.62E-3</v>
      </c>
      <c r="P55" s="90" t="str">
        <f>$E$46</f>
        <v>t N2O</v>
      </c>
    </row>
    <row r="56" spans="1:19" ht="20.100000000000001" customHeight="1" x14ac:dyDescent="0.25">
      <c r="A56" s="5" t="str">
        <f>HYPERLINK("#'Constants - Dairy'!A1", "Constants - Dairy")</f>
        <v>Constants - Dairy</v>
      </c>
    </row>
    <row r="57" spans="1:19" ht="20.100000000000001" customHeight="1" x14ac:dyDescent="0.25">
      <c r="A57" s="5" t="str">
        <f>HYPERLINK("#'Constants - Ag Residue'!A1", "Constants - Ag residue")</f>
        <v>Constants - Ag residue</v>
      </c>
    </row>
    <row r="58" spans="1:19" ht="20.100000000000001" customHeight="1" x14ac:dyDescent="0.25">
      <c r="A58" s="5" t="str">
        <f>HYPERLINK("#'Constants - Common Livestock'!A1", "Constants - Common Livestock")</f>
        <v>Constants - Common Livestock</v>
      </c>
    </row>
    <row r="59" spans="1:19" ht="20.100000000000001" customHeight="1" x14ac:dyDescent="0.25">
      <c r="A59" s="5" t="str">
        <f>HYPERLINK("#'Constants - Electricity'!A1", "Constants - Electricity")</f>
        <v>Constants - Electricity</v>
      </c>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s="5" t="str">
        <f>HYPERLINK("#'Constants - Fertiliser'!A1", "Constants - Fertiliser")</f>
        <v>Constants - Fertiliser</v>
      </c>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5">
      <c r="A61" s="5" t="str">
        <f>HYPERLINK("#'Constants - Fuel'!A1", "Constants - Fuel")</f>
        <v>Constants - Fuel</v>
      </c>
      <c r="D61" s="117" t="s">
        <v>343</v>
      </c>
      <c r="E61" s="117" t="str" cm="1">
        <f t="array" aca="1" ref="E61" ca="1">Common_InputFunctions.Utility_DisplayFunctionName(E74)</f>
        <v>=Fertiliser_Equations_LeachingAndRunoff.VEERG_5_5_1_1__3_MassOfNitrogenLeachedFromOrganicFertiliser</v>
      </c>
      <c r="N61" s="117" t="s">
        <v>343</v>
      </c>
      <c r="O61" s="117" t="str" cm="1">
        <f t="array" aca="1" ref="O61" ca="1">Common_InputFunctions.Utility_DisplayFunctionName(O74)</f>
        <v>=Fertiliser_Equations_LeachingAndRunoff.VEERG_5_5_1_1__3_MassOfNitrogenLeachedFromOrganicFertiliser</v>
      </c>
    </row>
    <row r="62" spans="1:19" ht="20.100000000000001" customHeight="1" x14ac:dyDescent="0.25">
      <c r="A62" s="5" t="str">
        <f>HYPERLINK("#'Constants - Scope 3'!A1", "Constants - Scope 3")</f>
        <v>Constants - Scope 3</v>
      </c>
    </row>
    <row r="63" spans="1:19" ht="20.100000000000001" customHeight="1" x14ac:dyDescent="0.25">
      <c r="A63" s="5" t="str">
        <f>HYPERLINK("#'Constants - Common'!A1", "Constants - Common")</f>
        <v>Constants - Common</v>
      </c>
    </row>
    <row r="64" spans="1:19" ht="20.100000000000001" customHeight="1" x14ac:dyDescent="0.25">
      <c r="A64" s="5" t="str">
        <f>HYPERLINK("#'Constants - Solid Waste'!A1", "Constants - Solid Waste")</f>
        <v>Constants - Solid Waste</v>
      </c>
      <c r="D64" s="76" t="s">
        <v>344</v>
      </c>
      <c r="E64" s="1" t="str" cm="1">
        <f t="array" ref="E64">Fertiliser_Equations_LeachingAndRunoff.VEERG_5_5_1_1__3_MassOfNitrogenLeachedFromOrganicFertiliser_Variable()</f>
        <v>M_leachorganicj</v>
      </c>
      <c r="N64" s="76" t="s">
        <v>344</v>
      </c>
      <c r="O64" s="1" t="str" cm="1">
        <f t="array" ref="O64">Fertiliser_Equations_LeachingAndRunoff.VEERG_5_5_1_1__3_MassOfNitrogenLeachedFromOrganicFertiliser_Variable()</f>
        <v>M_leachorganicj</v>
      </c>
    </row>
    <row r="65" spans="1:19" ht="20.100000000000001" customHeight="1" x14ac:dyDescent="0.25">
      <c r="A65" s="5" t="str">
        <f>HYPERLINK("#'Acknowledgements'!A1", "Acknowledgements")</f>
        <v>Acknowledgements</v>
      </c>
      <c r="D65" s="76" t="s">
        <v>118</v>
      </c>
      <c r="E65" s="9" t="str" cm="1">
        <f t="array" ref="E65">Fertiliser_Equations_LeachingAndRunoff.VEERG_5_5_1_1__3_MassOfNitrogenLeachedFromOrganicFertiliser_Unit()</f>
        <v>kg N</v>
      </c>
      <c r="N65" s="76" t="s">
        <v>118</v>
      </c>
      <c r="O65" s="9"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19" t="str" cm="1">
        <f t="array" ref="D67:E72">_xlfn.CHOOSECOLS(Fertiliser_Equations_LeachingAndRunoff.VEERG_5_5_1_1__3_MassOfNitrogenLeachedFromOrganicFertiliser_Arguments(), 1, 2)</f>
        <v>MNSoil_jf</v>
      </c>
      <c r="E67" s="124" t="str">
        <v>mass of nitrogen in organic fertiliser</v>
      </c>
      <c r="F67" s="125"/>
      <c r="G67" s="119" t="str" cm="1">
        <f t="array" ref="G67:H72">_xlfn.CHOOSECOLS(Fertiliser_Equations_LeachingAndRunoff.VEERG_5_5_1_1__3_MassOfNitrogenLeachedFromOrganicFertiliser_Arguments(), 3,4)</f>
        <v>kg N</v>
      </c>
      <c r="H67" s="127" t="str">
        <v>Calculated from 5.2.1.1 (2)</v>
      </c>
      <c r="I67" s="119">
        <f>X_Cell_ManureSentOffsite_MassNitrogenManure_Method1</f>
        <v>1000</v>
      </c>
      <c r="N67" s="119" t="str" cm="1">
        <f t="array" ref="N67:O72">_xlfn.CHOOSECOLS(Fertiliser_Equations_LeachingAndRunoff.VEERG_5_5_1_1__3_MassOfNitrogenLeachedFromOrganicFertiliser_Arguments(), 1, 2)</f>
        <v>MNSoil_jf</v>
      </c>
      <c r="O67" s="124" t="str">
        <v>mass of nitrogen in organic fertiliser</v>
      </c>
      <c r="P67" s="125"/>
      <c r="Q67" s="119" t="str" cm="1">
        <f t="array" ref="Q67:R72">_xlfn.CHOOSECOLS(Fertiliser_Equations_LeachingAndRunoff.VEERG_5_5_1_1__3_MassOfNitrogenLeachedFromOrganicFertiliser_Arguments(), 3,4)</f>
        <v>kg N</v>
      </c>
      <c r="R67" s="127" t="str">
        <v>Calculated from 5.2.1.1 (2)</v>
      </c>
      <c r="S67" s="119">
        <f>X_Cell_ManureSentOffsite_MassNitrogenManure_Method2</f>
        <v>2000</v>
      </c>
    </row>
    <row r="68" spans="1:19" ht="20.100000000000001" customHeight="1" x14ac:dyDescent="0.25">
      <c r="A68"/>
      <c r="D68" s="119" t="str">
        <v>FracWETj</v>
      </c>
      <c r="E68" s="124" t="str">
        <v>fraction of N available for leaching and runoff</v>
      </c>
      <c r="F68" s="125"/>
      <c r="G68" s="119" t="str">
        <v>fraction</v>
      </c>
      <c r="H68" s="127" t="str">
        <v>Constant</v>
      </c>
      <c r="I68" s="119">
        <f>Common_InputFunctions.CommonCropping_GetFracWET(I70,I72,Table_SourceData_FracWET[Is in leaching zone],Table_SourceData_FracWET[FracWET],Table_SourceData_FracWETIrrigation[Irrigation type i],Table_SourceData_FracWETIrrigation[FracWET])</f>
        <v>1</v>
      </c>
      <c r="N68" s="119" t="str">
        <v>FracWETj</v>
      </c>
      <c r="O68" s="124" t="str">
        <v>fraction of N available for leaching and runoff</v>
      </c>
      <c r="P68" s="125"/>
      <c r="Q68" s="119" t="str">
        <v>fraction</v>
      </c>
      <c r="R68" s="127" t="str">
        <v>Constant</v>
      </c>
      <c r="S68" s="119"/>
    </row>
    <row r="69" spans="1:19" ht="20.100000000000001" customHeight="1" x14ac:dyDescent="0.25">
      <c r="A69"/>
      <c r="D69" s="119" t="str">
        <v>FracLEACH</v>
      </c>
      <c r="E69" s="124" t="str">
        <v>fraction of N that is lost through leaching and runoff</v>
      </c>
      <c r="F69" s="125"/>
      <c r="G69" s="119" t="str">
        <v>fraction</v>
      </c>
      <c r="H69" s="127" t="str">
        <v>Constant</v>
      </c>
      <c r="I69" s="119">
        <f>Fertiliser_FracLEACH_Data</f>
        <v>0.24</v>
      </c>
      <c r="N69" s="119" t="str">
        <v>FracLEACH</v>
      </c>
      <c r="O69" s="124" t="str">
        <v>fraction of N that is lost through leaching and runoff</v>
      </c>
      <c r="P69" s="125"/>
      <c r="Q69" s="119" t="str">
        <v>fraction</v>
      </c>
      <c r="R69" s="127" t="str">
        <v>Constant</v>
      </c>
      <c r="S69" s="119"/>
    </row>
    <row r="70" spans="1:19" ht="20.100000000000001" customHeight="1" x14ac:dyDescent="0.25">
      <c r="A70"/>
      <c r="D70" s="119" t="str">
        <v>z</v>
      </c>
      <c r="E70" s="124" t="str">
        <v>location in leaching zone</v>
      </c>
      <c r="F70" s="125"/>
      <c r="G70" s="119" t="str">
        <v/>
      </c>
      <c r="H70" s="268" t="str">
        <v>Input</v>
      </c>
      <c r="I70" s="119">
        <f>X_Cell_Site_LeachingZone</f>
        <v>0</v>
      </c>
      <c r="N70" s="119" t="str">
        <v>z</v>
      </c>
      <c r="O70" s="124" t="str">
        <v>location in leaching zone</v>
      </c>
      <c r="P70" s="125"/>
      <c r="Q70" s="119" t="str">
        <v/>
      </c>
      <c r="R70" s="268" t="str">
        <v>Input</v>
      </c>
      <c r="S70" s="119"/>
    </row>
    <row r="71" spans="1:19" ht="20.100000000000001" customHeight="1" x14ac:dyDescent="0.25">
      <c r="A71"/>
      <c r="D71" s="119" t="str">
        <v>j</v>
      </c>
      <c r="E71" s="124" t="str">
        <v>production system</v>
      </c>
      <c r="F71" s="125"/>
      <c r="G71" s="119" t="str">
        <v/>
      </c>
      <c r="H71" s="268" t="str">
        <v>Input</v>
      </c>
      <c r="I71" s="119" t="str">
        <f>IF(ISBLANK(X_Cell_ManureSentOffsite_ManureProductionSystem), "Pasture", X_Cell_ManureSentOffsite_ManureProductionSystem)</f>
        <v>Crop</v>
      </c>
      <c r="N71" s="119" t="str">
        <v>j</v>
      </c>
      <c r="O71" s="124" t="str">
        <v>production system</v>
      </c>
      <c r="P71" s="125"/>
      <c r="Q71" s="119" t="str">
        <v/>
      </c>
      <c r="R71" s="268" t="str">
        <v>Input</v>
      </c>
      <c r="S71" s="119"/>
    </row>
    <row r="72" spans="1:19" ht="20.100000000000001" customHeight="1" x14ac:dyDescent="0.25">
      <c r="A72"/>
      <c r="D72" s="119" t="str">
        <v>ir</v>
      </c>
      <c r="E72" s="124" t="str">
        <v>irrigation method</v>
      </c>
      <c r="F72" s="125"/>
      <c r="G72" s="119" t="str">
        <v/>
      </c>
      <c r="H72" s="268" t="str">
        <v>Input</v>
      </c>
      <c r="I72" s="119" t="str">
        <f>IF(ISBLANK(X_Cell_ManureSentOffsite_ManureIrrigationMethod), "Not irrigated", X_Cell_ManureSentOffsite_ManureIrrigationMethod)</f>
        <v>Sprinkler irrigation</v>
      </c>
      <c r="N72" s="119" t="str">
        <v>ir</v>
      </c>
      <c r="O72" s="124" t="str">
        <v>irrigation method</v>
      </c>
      <c r="P72" s="125"/>
      <c r="Q72" s="119" t="str">
        <v/>
      </c>
      <c r="R72" s="268" t="str">
        <v>Input</v>
      </c>
      <c r="S72" s="119"/>
    </row>
    <row r="73" spans="1:19" ht="20.100000000000001" customHeight="1" x14ac:dyDescent="0.25">
      <c r="A73"/>
    </row>
    <row r="74" spans="1:19" ht="20.100000000000001" customHeight="1" x14ac:dyDescent="0.25">
      <c r="A74"/>
      <c r="D74" s="93" t="s">
        <v>1340</v>
      </c>
      <c r="E74" s="89" cm="1">
        <f t="array" ref="E74">Fertiliser_Equations_LeachingAndRunoff.VEERG_5_5_1_1__3_MassOfNitrogenLeachedFromOrganicFertiliser(I67,I68,I69)</f>
        <v>240</v>
      </c>
      <c r="F74" s="94" t="str">
        <f>$E$65</f>
        <v>kg N</v>
      </c>
      <c r="N74" s="93" t="s">
        <v>1340</v>
      </c>
      <c r="O74" s="89" cm="1">
        <f t="array" ref="O74">Fertiliser_Equations_LeachingAndRunoff.VEERG_5_5_1_1__3_MassOfNitrogenLeachedFromOrganicFertiliser(S67,I68,I69)</f>
        <v>480</v>
      </c>
      <c r="P74" s="94"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5">
      <c r="A79"/>
      <c r="D79" s="117" t="s">
        <v>343</v>
      </c>
      <c r="E79" s="117" t="str">
        <f ca="1">Common_InputFunctions.Utility_DisplayFunctionName(VEERG_5_5_1_1__1_FertiliserLeachingAndRunoffN2OEmissions_Result_Method1)</f>
        <v>=Fertiliser_Equations_LeachingAndRunoff.VEERG_5_5_1_1__1_FertiliserLeachingAndRunoffN2OEmissions</v>
      </c>
      <c r="N79" s="117" t="s">
        <v>343</v>
      </c>
      <c r="O79" s="117"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76" t="s">
        <v>344</v>
      </c>
      <c r="E82" s="1" t="str" cm="1">
        <f t="array" ref="E82">Fertiliser_Equations_LeachingAndRunoff.VEERG_5_5_1_1__1_FertiliserLeachingAndRunoffN2OEmissions_Variable()</f>
        <v>E_fertleach</v>
      </c>
      <c r="N82" s="76" t="s">
        <v>344</v>
      </c>
      <c r="O82" s="1" t="str" cm="1">
        <f t="array" ref="O82">Fertiliser_Equations_LeachingAndRunoff.VEERG_5_5_1_1__1_FertiliserLeachingAndRunoffN2OEmissions_Variable()</f>
        <v>E_fertleach</v>
      </c>
    </row>
    <row r="83" spans="1:20" x14ac:dyDescent="0.25">
      <c r="A83"/>
      <c r="D83" s="76" t="s">
        <v>118</v>
      </c>
      <c r="E83" s="9" t="str" cm="1">
        <f t="array" ref="E83">Fertiliser_Equations_LeachingAndRunoff.VEERG_5_5_1_1__1_FertiliserLeachingAndRunoffN2OEmissions_Unit()</f>
        <v>t N2O</v>
      </c>
      <c r="N83" s="76" t="s">
        <v>118</v>
      </c>
      <c r="O83" s="9" t="str" cm="1">
        <f t="array" ref="O83">Fertiliser_Equations_LeachingAndRunoff.VEERG_5_5_1_1__1_FertiliserLeachingAndRunoffN2OEmissions_Unit()</f>
        <v>t N2O</v>
      </c>
    </row>
    <row r="84" spans="1:20" x14ac:dyDescent="0.25">
      <c r="A84"/>
    </row>
    <row r="85" spans="1:20" x14ac:dyDescent="0.25">
      <c r="A85"/>
      <c r="D85" s="119" t="str" cm="1">
        <f t="array" ref="D85:E88">_xlfn.CHOOSECOLS(Fertiliser_Equations_LeachingAndRunoff.VEERG_5_5_1_1__1_FertiliserLeachingAndRunoffN2OEmissions_Arguments(), 1, 2)</f>
        <v>M_leachinorganicj</v>
      </c>
      <c r="E85" s="124" t="str">
        <v>mass of nitrogen lost through leaching and runoff from inorganic fertiliser application in production system j</v>
      </c>
      <c r="F85" s="132"/>
      <c r="G85" s="125"/>
      <c r="H85" s="119" t="str" cm="1">
        <f t="array" ref="H85:I88">_xlfn.CHOOSECOLS(Fertiliser_Equations_LeachingAndRunoff.VEERG_5_5_1_1__1_FertiliserLeachingAndRunoffN2OEmissions_Arguments(), 3,4)</f>
        <v>kg N</v>
      </c>
      <c r="I85" s="127" t="str">
        <v>Calculated from 5.5.1.1 (2)</v>
      </c>
      <c r="J85" s="119">
        <v>0</v>
      </c>
      <c r="N85" s="119" t="str" cm="1">
        <f t="array" ref="N85:O88">_xlfn.CHOOSECOLS(Fertiliser_Equations_LeachingAndRunoff.VEERG_5_5_1_1__1_FertiliserLeachingAndRunoffN2OEmissions_Arguments(), 1, 2)</f>
        <v>M_leachinorganicj</v>
      </c>
      <c r="O85" s="124" t="str">
        <v>mass of nitrogen lost through leaching and runoff from inorganic fertiliser application in production system j</v>
      </c>
      <c r="P85" s="132"/>
      <c r="Q85" s="125"/>
      <c r="R85" s="119" t="str" cm="1">
        <f t="array" ref="R85:S88">_xlfn.CHOOSECOLS(Fertiliser_Equations_LeachingAndRunoff.VEERG_5_5_1_1__1_FertiliserLeachingAndRunoffN2OEmissions_Arguments(), 3,4)</f>
        <v>kg N</v>
      </c>
      <c r="S85" s="127" t="str">
        <v>Calculated from 5.5.1.1 (2)</v>
      </c>
      <c r="T85" s="119"/>
    </row>
    <row r="86" spans="1:20" x14ac:dyDescent="0.25">
      <c r="A86"/>
      <c r="D86" s="119" t="str">
        <v>M_leachorganicj</v>
      </c>
      <c r="E86" s="124" t="str">
        <v>mass of nitrogen lost through leaching and runoff from organic fertiliser application</v>
      </c>
      <c r="F86" s="132"/>
      <c r="G86" s="125"/>
      <c r="H86" s="119" t="str">
        <v>kg N</v>
      </c>
      <c r="I86" s="127" t="str">
        <v>Calculated from 5.5.1.1 (3)</v>
      </c>
      <c r="J86" s="119">
        <f>E74</f>
        <v>240</v>
      </c>
      <c r="N86" s="119" t="str">
        <v>M_leachorganicj</v>
      </c>
      <c r="O86" s="124" t="str">
        <v>mass of nitrogen lost through leaching and runoff from organic fertiliser application</v>
      </c>
      <c r="P86" s="132"/>
      <c r="Q86" s="125"/>
      <c r="R86" s="119" t="str">
        <v>kg N</v>
      </c>
      <c r="S86" s="127" t="str">
        <v>Calculated from 5.5.1.1 (3)</v>
      </c>
      <c r="T86" s="119">
        <f>O74</f>
        <v>480</v>
      </c>
    </row>
    <row r="87" spans="1:20" x14ac:dyDescent="0.25">
      <c r="A87"/>
      <c r="D87" s="119" t="str">
        <v>EF_leach</v>
      </c>
      <c r="E87" s="124" t="str">
        <v>emission factor for nitrogen leaching and runoff</v>
      </c>
      <c r="F87" s="132"/>
      <c r="G87" s="125"/>
      <c r="H87" s="119" t="str">
        <v>kg N2O-N/kg N</v>
      </c>
      <c r="I87" s="127" t="str">
        <v>Constant</v>
      </c>
      <c r="J87" s="119">
        <f>Fertiliser_EFLeach_Data</f>
        <v>1.0999999999999999E-2</v>
      </c>
      <c r="N87" s="119" t="str">
        <v>EF_leach</v>
      </c>
      <c r="O87" s="124" t="str">
        <v>emission factor for nitrogen leaching and runoff</v>
      </c>
      <c r="P87" s="132"/>
      <c r="Q87" s="125"/>
      <c r="R87" s="119" t="str">
        <v>kg N2O-N/kg N</v>
      </c>
      <c r="S87" s="127" t="str">
        <v>Constant</v>
      </c>
      <c r="T87" s="119"/>
    </row>
    <row r="88" spans="1:20" x14ac:dyDescent="0.25">
      <c r="A88"/>
      <c r="D88" s="119" t="str">
        <v>C_N2O</v>
      </c>
      <c r="E88" s="124" t="str">
        <v>factor to convert elemental mass of nitrous oxide to molecular mass</v>
      </c>
      <c r="F88" s="132"/>
      <c r="G88" s="125"/>
      <c r="H88" s="119" t="str">
        <v/>
      </c>
      <c r="I88" s="127" t="str">
        <v>Constant</v>
      </c>
      <c r="J88" s="131">
        <f>Common_InputFunctions.Utility_LookupValueInTableNumber("N2O",Table_GasToMolecularConversionFactor[Gas],Table_GasToMolecularConversionFactor[Conversion factor combined])</f>
        <v>1.5714285714285714</v>
      </c>
      <c r="N88" s="119" t="str">
        <v>C_N2O</v>
      </c>
      <c r="O88" s="124" t="str">
        <v>factor to convert elemental mass of nitrous oxide to molecular mass</v>
      </c>
      <c r="P88" s="132"/>
      <c r="Q88" s="125"/>
      <c r="R88" s="119" t="str">
        <v/>
      </c>
      <c r="S88" s="127" t="str">
        <v>Constant</v>
      </c>
      <c r="T88" s="131"/>
    </row>
    <row r="89" spans="1:20" x14ac:dyDescent="0.25">
      <c r="A89"/>
    </row>
    <row r="90" spans="1:20" ht="23.25" x14ac:dyDescent="0.25">
      <c r="A90"/>
      <c r="D90" s="88" t="s">
        <v>790</v>
      </c>
      <c r="E90" s="91" cm="1">
        <f t="array" ref="E90">Fertiliser_Equations_LeachingAndRunoff.VEERG_5_5_1_1__1_FertiliserLeachingAndRunoffN2OEmissions(J85,J86,J87,J88)</f>
        <v>4.1485714285714277E-3</v>
      </c>
      <c r="F90" s="90" t="str">
        <f>$E$83</f>
        <v>t N2O</v>
      </c>
      <c r="N90" s="88" t="s">
        <v>790</v>
      </c>
      <c r="O90" s="91" cm="1">
        <f t="array" ref="O90">Fertiliser_Equations_LeachingAndRunoff.VEERG_5_5_1_1__1_FertiliserLeachingAndRunoffN2OEmissions(J85,T86,J87,J88)</f>
        <v>8.2971428571428554E-3</v>
      </c>
      <c r="P90" s="90"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6B72-C6D9-46B0-80CD-0A8F10B32D0E}">
  <sheetPr>
    <tabColor theme="2" tint="-0.499984740745262"/>
  </sheetPr>
  <dimension ref="A1:V288"/>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575</v>
      </c>
    </row>
    <row r="2" spans="1:21" s="3" customFormat="1" ht="20.100000000000001" customHeight="1" x14ac:dyDescent="0.25">
      <c r="A2"/>
    </row>
    <row r="3" spans="1:21"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5">
      <c r="A4" s="5" t="str">
        <f>HYPERLINK("#'Results - Activity period'!A1", "Results - Activity period")</f>
        <v>Results - Activity period</v>
      </c>
      <c r="M4" s="8"/>
    </row>
    <row r="5" spans="1:21" ht="20.100000000000001" customHeight="1" x14ac:dyDescent="0.25">
      <c r="A5" s="5" t="str">
        <f>HYPERLINK("#'Results - Product EI'!A1", "Results - Product Emissions Intensity")</f>
        <v>Results - Product Emissions Intensity</v>
      </c>
      <c r="D5" s="2" t="s">
        <v>576</v>
      </c>
      <c r="G5" s="2" t="s">
        <v>577</v>
      </c>
      <c r="J5" s="2" t="s">
        <v>578</v>
      </c>
      <c r="L5" s="2" t="s">
        <v>579</v>
      </c>
      <c r="M5" s="1"/>
    </row>
    <row r="6" spans="1:21" ht="20.100000000000001" customHeight="1" x14ac:dyDescent="0.25">
      <c r="A6" s="5" t="str">
        <f>HYPERLINK("#'Results'!A1", "Results")</f>
        <v>Results</v>
      </c>
      <c r="L6" s="1" t="s">
        <v>580</v>
      </c>
      <c r="M6" s="1"/>
    </row>
    <row r="7" spans="1:21" ht="20.100000000000001" customHeight="1" x14ac:dyDescent="0.25">
      <c r="D7" s="141" t="s">
        <v>388</v>
      </c>
      <c r="E7" s="19" t="s">
        <v>581</v>
      </c>
      <c r="G7" s="19" t="s">
        <v>161</v>
      </c>
      <c r="J7" s="19" t="s">
        <v>63</v>
      </c>
      <c r="L7" s="19" t="s">
        <v>582</v>
      </c>
      <c r="M7" s="1"/>
    </row>
    <row r="8" spans="1:21" ht="20.100000000000001" customHeight="1" x14ac:dyDescent="0.25">
      <c r="D8" s="19" t="str">
        <f>'Constants - Common Livestock'!$E$10</f>
        <v>Anaerobic lagoon</v>
      </c>
      <c r="E8" s="19" t="str">
        <f>'Constants - Common Livestock'!$F$10</f>
        <v>Anaerobic lagoon (m=1)</v>
      </c>
      <c r="G8" s="19" t="str">
        <f>'Constants - Common'!$F$187</f>
        <v>Pasture</v>
      </c>
      <c r="J8" s="19" t="s">
        <v>583</v>
      </c>
      <c r="L8" s="19" t="s">
        <v>295</v>
      </c>
      <c r="M8" s="1"/>
    </row>
    <row r="9" spans="1:21" ht="20.100000000000001" customHeight="1" x14ac:dyDescent="0.25">
      <c r="A9" s="7" t="s">
        <v>0</v>
      </c>
      <c r="D9" s="19" t="str">
        <f>'Constants - Common Livestock'!$E$13</f>
        <v>Sump and dispersal system</v>
      </c>
      <c r="E9" s="19" t="str">
        <f>'Constants - Common Livestock'!$F$13</f>
        <v>Sump and dispersal system (m=3a)</v>
      </c>
      <c r="G9" s="1" t="str">
        <f>'Constants - Common'!$F$188</f>
        <v>Crop</v>
      </c>
      <c r="J9" s="19" t="s">
        <v>584</v>
      </c>
      <c r="L9" s="19" t="s">
        <v>296</v>
      </c>
      <c r="M9" s="1"/>
    </row>
    <row r="10" spans="1:21" ht="20.100000000000001" customHeight="1" x14ac:dyDescent="0.25">
      <c r="A10" s="5" t="str">
        <f>HYPERLINK("#'Input - Enterprise'!A1", "Enterprise")</f>
        <v>Enterprise</v>
      </c>
      <c r="D10" s="19" t="str">
        <f>'Constants - Common Livestock'!$E$14</f>
        <v>Drains to paddock</v>
      </c>
      <c r="E10" s="19" t="str">
        <f>'Constants - Common Livestock'!$F$14</f>
        <v>Drains to paddock (m=3b)</v>
      </c>
      <c r="J10" s="1" t="s">
        <v>341</v>
      </c>
      <c r="L10" s="19" t="s">
        <v>297</v>
      </c>
      <c r="M10" s="1"/>
    </row>
    <row r="11" spans="1:21" ht="20.100000000000001" customHeight="1" x14ac:dyDescent="0.25">
      <c r="A11" s="5" t="str">
        <f>HYPERLINK("#'Input - Site'!A1", "Site")</f>
        <v>Site</v>
      </c>
      <c r="D11" s="19" t="str">
        <f>'Constants - Common Livestock'!$E$15</f>
        <v>Solid storage</v>
      </c>
      <c r="E11" s="19" t="str">
        <f>'Constants - Common Livestock'!$F$15</f>
        <v>Solid storage (m=4)</v>
      </c>
      <c r="J11" s="1" t="s">
        <v>585</v>
      </c>
      <c r="L11" s="19" t="s">
        <v>298</v>
      </c>
      <c r="M11" s="1"/>
    </row>
    <row r="12" spans="1:21" ht="20.100000000000001" customHeight="1" x14ac:dyDescent="0.25">
      <c r="A12" s="5" t="str">
        <f>HYPERLINK("#'Input - Dairy'!A1", "Dairy")</f>
        <v>Dairy</v>
      </c>
      <c r="J12" s="1" t="s">
        <v>586</v>
      </c>
      <c r="L12" s="19" t="s">
        <v>299</v>
      </c>
      <c r="M12" s="1"/>
    </row>
    <row r="13" spans="1:21" ht="20.100000000000001" customHeight="1" x14ac:dyDescent="0.25">
      <c r="A13" s="5" t="str">
        <f>HYPERLINK("#'Input - Livestock sales'!A1", "Livestock sales")</f>
        <v>Livestock sales</v>
      </c>
      <c r="M13" s="1"/>
    </row>
    <row r="14" spans="1:21" ht="20.100000000000001" customHeight="1" x14ac:dyDescent="0.25">
      <c r="A14" s="5" t="str">
        <f>HYPERLINK("#'Input - Dairy cattle purchases'!A1", "Dairy cattle purchases")</f>
        <v>Dairy cattle purchases</v>
      </c>
      <c r="M14" s="1"/>
    </row>
    <row r="15" spans="1:21" ht="20.100000000000001" customHeight="1" x14ac:dyDescent="0.25">
      <c r="A15" s="5" t="str">
        <f>HYPERLINK("#'Input - Pasture'!A1", "Pasture")</f>
        <v>Pasture</v>
      </c>
      <c r="M15" s="1"/>
    </row>
    <row r="16" spans="1:21" ht="20.100000000000001" customHeight="1" x14ac:dyDescent="0.25">
      <c r="A16" s="5" t="str">
        <f>HYPERLINK("#'Input - Fert Prod System'!A1", "Fert Prod System")</f>
        <v>Fert Prod System</v>
      </c>
      <c r="D16" s="2" t="str" cm="1">
        <f t="array" ref="D16">SourceData_Dairy.SourceData_Dairy_LiveweightCowsAndHeifers_Title()</f>
        <v>Table A.1.3.1: Dairy cattle - Liveweight (kg) - Cows and Heifers (Wj)</v>
      </c>
      <c r="M16" s="1"/>
    </row>
    <row r="17" spans="1:13" ht="20.100000000000001" customHeight="1" x14ac:dyDescent="0.25">
      <c r="A17" s="5" t="str">
        <f>HYPERLINK("#'Input - Fertiliser'!A1", "Fertiliser")</f>
        <v>Fertiliser</v>
      </c>
      <c r="D17" s="17" t="str" cm="1">
        <f t="array" ref="D17">SourceData_Dairy.SourceData_Dairy_LiveweightCowsAndHeifers_Source()</f>
        <v>VEERG 2026: Table A.1.3.1</v>
      </c>
      <c r="M17" s="1"/>
    </row>
    <row r="18" spans="1:13" ht="20.100000000000001" customHeight="1" x14ac:dyDescent="0.25">
      <c r="A18" s="5" t="str">
        <f>HYPERLINK("#'Input - Fuel'!A1", "Fuel")</f>
        <v>Fuel</v>
      </c>
      <c r="D18" s="1" t="str" cm="1">
        <f t="array" ref="D18">SourceData_Dairy.SourceData_Dairy_LiveweightCowsAndHeifers_Variable()</f>
        <v>Wj</v>
      </c>
      <c r="M18" s="1"/>
    </row>
    <row r="19" spans="1:13" ht="20.100000000000001" customHeight="1" x14ac:dyDescent="0.25">
      <c r="A19" s="5" t="str">
        <f>HYPERLINK("#'Input - Electricity'!A1", "Electricity")</f>
        <v>Electricity</v>
      </c>
      <c r="D19" s="9" t="str" cm="1">
        <f t="array" ref="D19">SourceData_Dairy.SourceData_Dairy_LiveweightCowsAndHeifers_Unit()</f>
        <v>kg</v>
      </c>
      <c r="M19" s="1"/>
    </row>
    <row r="20" spans="1:13" ht="20.100000000000001" customHeight="1" x14ac:dyDescent="0.25">
      <c r="A20" s="5" t="str">
        <f>HYPERLINK("#'Input - Common farm inputs'!A1", "Common farm inputs")</f>
        <v>Common farm inputs</v>
      </c>
      <c r="D20" s="25"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5" t="str">
        <f>HYPERLINK("#'Input - Crop pasture farm input'!A1", "Crop pasture farm input")</f>
        <v>Crop pasture farm input</v>
      </c>
      <c r="D21" s="19" t="s">
        <v>293</v>
      </c>
      <c r="E21" s="19" t="s">
        <v>295</v>
      </c>
      <c r="F21" s="19" t="s">
        <v>587</v>
      </c>
      <c r="G21" s="19" t="s">
        <v>588</v>
      </c>
      <c r="M21" s="1"/>
    </row>
    <row r="22" spans="1:13" ht="20.100000000000001" customHeight="1" x14ac:dyDescent="0.25">
      <c r="A22" s="5" t="str">
        <f>HYPERLINK("#'Input - Livestock farm Inputs'!A1", "Livestock farm Inputs")</f>
        <v>Livestock farm Inputs</v>
      </c>
      <c r="D22" s="19" t="str" cm="1">
        <f t="array" ref="D22">Common_InputFunctions.Utility_DisplayArrayInTable(SourceData_Dairy.SourceData_Dairy_LiveweightCowsAndHeifers_Data(), Table_SourceData_Dairy_WjCowsHeifers[[#Headers],[Breed]], 0)</f>
        <v>Medium Friesian</v>
      </c>
      <c r="E22" s="19" cm="1">
        <f t="array" ref="E22">Common_InputFunctions.Utility_DisplayArrayInTable(SourceData_Dairy.SourceData_Dairy_LiveweightCowsAndHeifers_Data(), Table_SourceData_Dairy_WjCowsHeifers[[#Headers],[Breed]], 0)</f>
        <v>550</v>
      </c>
      <c r="F22" s="19" cm="1">
        <f t="array" ref="F22">Common_InputFunctions.Utility_DisplayArrayInTable(SourceData_Dairy.SourceData_Dairy_LiveweightCowsAndHeifers_Data(), Table_SourceData_Dairy_WjCowsHeifers[[#Headers],[Breed]], 0)</f>
        <v>380</v>
      </c>
      <c r="G22" s="1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5" t="str">
        <f>HYPERLINK("#'Input - Freight'!A1", "Freight")</f>
        <v>Freight</v>
      </c>
      <c r="D23" s="19" t="str" cm="1">
        <f t="array" ref="D23">Common_InputFunctions.Utility_DisplayArrayInTable(SourceData_Dairy.SourceData_Dairy_LiveweightCowsAndHeifers_Data(), Table_SourceData_Dairy_WjCowsHeifers[[#Headers],[Breed]], 0)</f>
        <v>Large Friesian</v>
      </c>
      <c r="E23" s="19" cm="1">
        <f t="array" ref="E23">Common_InputFunctions.Utility_DisplayArrayInTable(SourceData_Dairy.SourceData_Dairy_LiveweightCowsAndHeifers_Data(), Table_SourceData_Dairy_WjCowsHeifers[[#Headers],[Breed]], 0)</f>
        <v>600</v>
      </c>
      <c r="F23" s="19" cm="1">
        <f t="array" ref="F23">Common_InputFunctions.Utility_DisplayArrayInTable(SourceData_Dairy.SourceData_Dairy_LiveweightCowsAndHeifers_Data(), Table_SourceData_Dairy_WjCowsHeifers[[#Headers],[Breed]], 0)</f>
        <v>415</v>
      </c>
      <c r="G23" s="1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5" t="str">
        <f>HYPERLINK("#'Input - Solid waste'!A1", "Solid waste")</f>
        <v>Solid waste</v>
      </c>
      <c r="D24" s="19" t="str" cm="1">
        <f t="array" ref="D24">Common_InputFunctions.Utility_DisplayArrayInTable(SourceData_Dairy.SourceData_Dairy_LiveweightCowsAndHeifers_Data(), Table_SourceData_Dairy_WjCowsHeifers[[#Headers],[Breed]], 0)</f>
        <v>Holstein-Friesian</v>
      </c>
      <c r="E24" s="19" cm="1">
        <f t="array" ref="E24">Common_InputFunctions.Utility_DisplayArrayInTable(SourceData_Dairy.SourceData_Dairy_LiveweightCowsAndHeifers_Data(), Table_SourceData_Dairy_WjCowsHeifers[[#Headers],[Breed]], 0)</f>
        <v>650</v>
      </c>
      <c r="F24" s="19" cm="1">
        <f t="array" ref="F24">Common_InputFunctions.Utility_DisplayArrayInTable(SourceData_Dairy.SourceData_Dairy_LiveweightCowsAndHeifers_Data(), Table_SourceData_Dairy_WjCowsHeifers[[#Headers],[Breed]], 0)</f>
        <v>450</v>
      </c>
      <c r="G24" s="1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5" t="str">
        <f>HYPERLINK("#'Input - Manure sent off-site'!A1", "Manure sent off-site")</f>
        <v>Manure sent off-site</v>
      </c>
      <c r="D25" s="19" t="str" cm="1">
        <f t="array" ref="D25">Common_InputFunctions.Utility_DisplayArrayInTable(SourceData_Dairy.SourceData_Dairy_LiveweightCowsAndHeifers_Data(), Table_SourceData_Dairy_WjCowsHeifers[[#Headers],[Breed]], 0)</f>
        <v>Friesian crossbred</v>
      </c>
      <c r="E25" s="19" cm="1">
        <f t="array" ref="E25">Common_InputFunctions.Utility_DisplayArrayInTable(SourceData_Dairy.SourceData_Dairy_LiveweightCowsAndHeifers_Data(), Table_SourceData_Dairy_WjCowsHeifers[[#Headers],[Breed]], 0)</f>
        <v>500</v>
      </c>
      <c r="F25" s="19" cm="1">
        <f t="array" ref="F25">Common_InputFunctions.Utility_DisplayArrayInTable(SourceData_Dairy.SourceData_Dairy_LiveweightCowsAndHeifers_Data(), Table_SourceData_Dairy_WjCowsHeifers[[#Headers],[Breed]], 0)</f>
        <v>350</v>
      </c>
      <c r="G25" s="19"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5" t="str">
        <f>HYPERLINK("#'Input - Data quality'!A1", "Data quality")</f>
        <v>Data quality</v>
      </c>
      <c r="D26" s="19" t="str" cm="1">
        <f t="array" ref="D26">Common_InputFunctions.Utility_DisplayArrayInTable(SourceData_Dairy.SourceData_Dairy_LiveweightCowsAndHeifers_Data(), Table_SourceData_Dairy_WjCowsHeifers[[#Headers],[Breed]], 0)</f>
        <v>Jersey</v>
      </c>
      <c r="E26" s="19" cm="1">
        <f t="array" ref="E26">Common_InputFunctions.Utility_DisplayArrayInTable(SourceData_Dairy.SourceData_Dairy_LiveweightCowsAndHeifers_Data(), Table_SourceData_Dairy_WjCowsHeifers[[#Headers],[Breed]], 0)</f>
        <v>400</v>
      </c>
      <c r="F26" s="19" cm="1">
        <f t="array" ref="F26">Common_InputFunctions.Utility_DisplayArrayInTable(SourceData_Dairy.SourceData_Dairy_LiveweightCowsAndHeifers_Data(), Table_SourceData_Dairy_WjCowsHeifers[[#Headers],[Breed]], 0)</f>
        <v>275</v>
      </c>
      <c r="G26" s="1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19" t="str" cm="1">
        <f t="array" ref="D27">Common_InputFunctions.Utility_DisplayArrayInTable(SourceData_Dairy.SourceData_Dairy_LiveweightCowsAndHeifers_Data(), Table_SourceData_Dairy_WjCowsHeifers[[#Headers],[Breed]], 0)</f>
        <v>Jersey crossbred</v>
      </c>
      <c r="E27" s="19" cm="1">
        <f t="array" ref="E27">Common_InputFunctions.Utility_DisplayArrayInTable(SourceData_Dairy.SourceData_Dairy_LiveweightCowsAndHeifers_Data(), Table_SourceData_Dairy_WjCowsHeifers[[#Headers],[Breed]], 0)</f>
        <v>450</v>
      </c>
      <c r="F27" s="19" cm="1">
        <f t="array" ref="F27">Common_InputFunctions.Utility_DisplayArrayInTable(SourceData_Dairy.SourceData_Dairy_LiveweightCowsAndHeifers_Data(), Table_SourceData_Dairy_WjCowsHeifers[[#Headers],[Breed]], 0)</f>
        <v>315</v>
      </c>
      <c r="G27" s="1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19" t="str" cm="1">
        <f t="array" ref="D28">Common_InputFunctions.Utility_DisplayArrayInTable(SourceData_Dairy.SourceData_Dairy_LiveweightCowsAndHeifers_Data(), Table_SourceData_Dairy_WjCowsHeifers[[#Headers],[Breed]], 0)</f>
        <v>Ayrshire</v>
      </c>
      <c r="E28" s="19" cm="1">
        <f t="array" ref="E28">Common_InputFunctions.Utility_DisplayArrayInTable(SourceData_Dairy.SourceData_Dairy_LiveweightCowsAndHeifers_Data(), Table_SourceData_Dairy_WjCowsHeifers[[#Headers],[Breed]], 0)</f>
        <v>540</v>
      </c>
      <c r="F28" s="19" cm="1">
        <f t="array" ref="F28">Common_InputFunctions.Utility_DisplayArrayInTable(SourceData_Dairy.SourceData_Dairy_LiveweightCowsAndHeifers_Data(), Table_SourceData_Dairy_WjCowsHeifers[[#Headers],[Breed]], 0)</f>
        <v>375</v>
      </c>
      <c r="G28" s="19"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6" t="s">
        <v>2</v>
      </c>
      <c r="D29" s="19" t="str" cm="1">
        <f t="array" ref="D29">Common_InputFunctions.Utility_DisplayArrayInTable(SourceData_Dairy.SourceData_Dairy_LiveweightCowsAndHeifers_Data(), Table_SourceData_Dairy_WjCowsHeifers[[#Headers],[Breed]], 0)</f>
        <v>Guernsey</v>
      </c>
      <c r="E29" s="19" cm="1">
        <f t="array" ref="E29">Common_InputFunctions.Utility_DisplayArrayInTable(SourceData_Dairy.SourceData_Dairy_LiveweightCowsAndHeifers_Data(), Table_SourceData_Dairy_WjCowsHeifers[[#Headers],[Breed]], 0)</f>
        <v>480</v>
      </c>
      <c r="F29" s="19" cm="1">
        <f t="array" ref="F29">Common_InputFunctions.Utility_DisplayArrayInTable(SourceData_Dairy.SourceData_Dairy_LiveweightCowsAndHeifers_Data(), Table_SourceData_Dairy_WjCowsHeifers[[#Headers],[Breed]], 0)</f>
        <v>335</v>
      </c>
      <c r="G29" s="19" cm="1">
        <f t="array" ref="G29">Common_InputFunctions.Utility_DisplayArrayInTable(SourceData_Dairy.SourceData_Dairy_LiveweightCowsAndHeifers_Data(), Table_SourceData_Dairy_WjCowsHeifers[[#Headers],[Breed]], 0)</f>
        <v>140</v>
      </c>
      <c r="M29" s="1"/>
    </row>
    <row r="30" spans="1:13" ht="20.100000000000001" customHeight="1" x14ac:dyDescent="0.25">
      <c r="A30" s="5" t="str">
        <f>HYPERLINK("#'3.3.1.1-2 Enteric Methane'!A1", "3.3.1.1-2 Enteric methane")</f>
        <v>3.3.1.1-2 Enteric methane</v>
      </c>
      <c r="D30" s="19" t="str" cm="1">
        <f t="array" ref="D30">Common_InputFunctions.Utility_DisplayArrayInTable(SourceData_Dairy.SourceData_Dairy_LiveweightCowsAndHeifers_Data(), Table_SourceData_Dairy_WjCowsHeifers[[#Headers],[Breed]], 0)</f>
        <v>Brown Swiss</v>
      </c>
      <c r="E30" s="19" cm="1">
        <f t="array" ref="E30">Common_InputFunctions.Utility_DisplayArrayInTable(SourceData_Dairy.SourceData_Dairy_LiveweightCowsAndHeifers_Data(), Table_SourceData_Dairy_WjCowsHeifers[[#Headers],[Breed]], 0)</f>
        <v>600</v>
      </c>
      <c r="F30" s="19" cm="1">
        <f t="array" ref="F30">Common_InputFunctions.Utility_DisplayArrayInTable(SourceData_Dairy.SourceData_Dairy_LiveweightCowsAndHeifers_Data(), Table_SourceData_Dairy_WjCowsHeifers[[#Headers],[Breed]], 0)</f>
        <v>415</v>
      </c>
      <c r="G30" s="19" cm="1">
        <f t="array" ref="G30">Common_InputFunctions.Utility_DisplayArrayInTable(SourceData_Dairy.SourceData_Dairy_LiveweightCowsAndHeifers_Data(), Table_SourceData_Dairy_WjCowsHeifers[[#Headers],[Breed]], 0)</f>
        <v>170</v>
      </c>
      <c r="M30" s="1"/>
    </row>
    <row r="31" spans="1:13" ht="20.100000000000001" customHeight="1" x14ac:dyDescent="0.25">
      <c r="A31" s="5" t="str">
        <f>HYPERLINK("#'4.3.1.1-2 Methane'!A1", "4.3.1.1-2 Manure methane")</f>
        <v>4.3.1.1-2 Manure methane</v>
      </c>
      <c r="D31" s="19" t="str" cm="1">
        <f t="array" ref="D31">Common_InputFunctions.Utility_DisplayArrayInTable(SourceData_Dairy.SourceData_Dairy_LiveweightCowsAndHeifers_Data(), Table_SourceData_Dairy_WjCowsHeifers[[#Headers],[Breed]], 0)</f>
        <v>Illawarra/Aussie Red</v>
      </c>
      <c r="E31" s="19" cm="1">
        <f t="array" ref="E31">Common_InputFunctions.Utility_DisplayArrayInTable(SourceData_Dairy.SourceData_Dairy_LiveweightCowsAndHeifers_Data(), Table_SourceData_Dairy_WjCowsHeifers[[#Headers],[Breed]], 0)</f>
        <v>550</v>
      </c>
      <c r="F31" s="19" cm="1">
        <f t="array" ref="F31">Common_InputFunctions.Utility_DisplayArrayInTable(SourceData_Dairy.SourceData_Dairy_LiveweightCowsAndHeifers_Data(), Table_SourceData_Dairy_WjCowsHeifers[[#Headers],[Breed]], 0)</f>
        <v>375</v>
      </c>
      <c r="G31" s="19" cm="1">
        <f t="array" ref="G31">Common_InputFunctions.Utility_DisplayArrayInTable(SourceData_Dairy.SourceData_Dairy_LiveweightCowsAndHeifers_Data(), Table_SourceData_Dairy_WjCowsHeifers[[#Headers],[Breed]], 0)</f>
        <v>150</v>
      </c>
      <c r="M31" s="1"/>
    </row>
    <row r="32" spans="1:13" ht="20.100000000000001" customHeight="1" x14ac:dyDescent="0.25">
      <c r="A32" s="5" t="str">
        <f>HYPERLINK("#'4.3.1.3-4 Direct N20'!A1", "4.3.1.3-4 Direct N20")</f>
        <v>4.3.1.3-4 Direct N20</v>
      </c>
      <c r="M32" s="1"/>
    </row>
    <row r="33" spans="1:13" ht="20.100000000000001" customHeight="1" x14ac:dyDescent="0.25">
      <c r="A33" s="5" t="str">
        <f>HYPERLINK("#'4.3.1.5 Atmos deposition'!A1", "4.3.1.5 Atmos deposition")</f>
        <v>4.3.1.5 Atmos deposition</v>
      </c>
      <c r="M33" s="1"/>
    </row>
    <row r="34" spans="1:13" ht="20.100000000000001" customHeight="1" x14ac:dyDescent="0.25">
      <c r="A34" s="5" t="str">
        <f>HYPERLINK("#'4.3.1.6-7 Leaching and runoff'!A1", "4.3.1.6-7 Leaching &amp; runoff")</f>
        <v>4.3.1.6-7 Leaching &amp; runoff</v>
      </c>
      <c r="D34" s="2" t="str" cm="1">
        <f t="array" ref="D34">SourceData_Dairy.SourceData_Dairy_LiveweightBulls_Title()</f>
        <v>Table A.1.3.2: Dairy cattle - Liveweight (kg) - Bulls (Wj)</v>
      </c>
      <c r="M34" s="1"/>
    </row>
    <row r="35" spans="1:13" ht="20.100000000000001" customHeight="1" x14ac:dyDescent="0.25">
      <c r="A35" s="5" t="str">
        <f>HYPERLINK("#'4.3.1.8 Manure applied to soils'!A1", "4.3.1.8 Manure applied to soils")</f>
        <v>4.3.1.8 Manure applied to soils</v>
      </c>
      <c r="D35" s="17" t="str" cm="1">
        <f t="array" ref="D35">SourceData_Dairy.SourceData_Dairy_LiveweightBulls_Source()</f>
        <v>VEERG 2026: Table A.1.3.2</v>
      </c>
      <c r="M35" s="1"/>
    </row>
    <row r="36" spans="1:13" ht="20.100000000000001" customHeight="1" x14ac:dyDescent="0.25">
      <c r="A36" s="5" t="str">
        <f>HYPERLINK("#'4.3.1.9 Soil direct N2O'!A1", "4.3.1.9 Soil direct N2O")</f>
        <v>4.3.1.9 Soil direct N2O</v>
      </c>
      <c r="D36" s="1" t="str" cm="1">
        <f t="array" ref="D36">SourceData_Dairy.SourceData_Dairy_LiveweightBulls_Variable()</f>
        <v>Wj</v>
      </c>
      <c r="M36" s="1"/>
    </row>
    <row r="37" spans="1:13" ht="20.100000000000001" customHeight="1" x14ac:dyDescent="0.25">
      <c r="A37" s="5" t="str">
        <f>HYPERLINK("#'4.3.1.10-11 Soil Atmos Dep'!A1", "4.3.1.10-11 Soil Atmos Deposition")</f>
        <v>4.3.1.10-11 Soil Atmos Deposition</v>
      </c>
      <c r="D37" s="9" t="str" cm="1">
        <f t="array" ref="D37">SourceData_Dairy.SourceData_Dairy_LiveweightBulls_Unit()</f>
        <v>kg</v>
      </c>
      <c r="M37" s="1"/>
    </row>
    <row r="38" spans="1:13" ht="20.100000000000001" customHeight="1" x14ac:dyDescent="0.25">
      <c r="A38" s="5" t="str">
        <f>HYPERLINK("#'4.3.1.12-13 Soil leach runoff'!A1", "4.3.1.12-13 Soil leach &amp; runoff")</f>
        <v>4.3.1.12-13 Soil leach &amp; runoff</v>
      </c>
      <c r="D38" s="19" t="s">
        <v>293</v>
      </c>
      <c r="E38" s="19" t="s">
        <v>589</v>
      </c>
      <c r="F38" s="19" t="s">
        <v>590</v>
      </c>
      <c r="M38" s="1"/>
    </row>
    <row r="39" spans="1:13" ht="20.100000000000001" customHeight="1" x14ac:dyDescent="0.25">
      <c r="A39" s="5" t="str">
        <f>HYPERLINK("#'5.1.1.1-2 Inorganic fert N2O'!A1", "5.1.1.1-2 Inorganic fert N2O")</f>
        <v>5.1.1.1-2 Inorganic fert N2O</v>
      </c>
      <c r="D39" s="19" t="str" cm="1">
        <f t="array" ref="D39">Common_InputFunctions.Utility_DisplayArrayInTable(SourceData_Dairy.SourceData_Dairy_LiveweightBulls_Data(), Table_SourceData_Dairy_WjBulls[[#Headers],[Breed]], 0)</f>
        <v>All breeds</v>
      </c>
      <c r="E39" s="19" cm="1">
        <f t="array" ref="E39">Common_InputFunctions.Utility_DisplayArrayInTable(SourceData_Dairy.SourceData_Dairy_LiveweightBulls_Data(), Table_SourceData_Dairy_WjBulls[[#Headers],[Breed]], 0)</f>
        <v>600</v>
      </c>
      <c r="F39" s="19" cm="1">
        <f t="array" ref="F39">Common_InputFunctions.Utility_DisplayArrayInTable(SourceData_Dairy.SourceData_Dairy_LiveweightBulls_Data(), Table_SourceData_Dairy_WjBulls[[#Headers],[Breed]], 0)</f>
        <v>225</v>
      </c>
      <c r="M39" s="1"/>
    </row>
    <row r="40" spans="1:13" ht="20.100000000000001" customHeight="1" x14ac:dyDescent="0.25">
      <c r="A40" s="5" t="str">
        <f>HYPERLINK("#'5.1.1.3-4 Inorganic fert CO2'!A1", "5.1.1.3-4 Inorganic fert CO2")</f>
        <v>5.1.1.3-4 Inorganic fert CO2</v>
      </c>
      <c r="M40" s="1"/>
    </row>
    <row r="41" spans="1:13" ht="20.100000000000001" customHeight="1" x14ac:dyDescent="0.25">
      <c r="A41" s="5" t="str">
        <f>HYPERLINK("#'5.2.1.1-2 Organic Fert N2O'!A1", "5.2.1.1-2 Organic fert N2O")</f>
        <v>5.2.1.1-2 Organic fert N2O</v>
      </c>
      <c r="M41" s="1"/>
    </row>
    <row r="42" spans="1:13" ht="20.100000000000001" customHeight="1" x14ac:dyDescent="0.25">
      <c r="A42" s="5" t="str">
        <f>HYPERLINK("#'5.3.1.1-2 Lime CO2'!A1", "5.3.1.1-2 Lime CO2")</f>
        <v>5.3.1.1-2 Lime CO2</v>
      </c>
      <c r="D42" s="2" t="str" cm="1">
        <f t="array" ref="D42">SourceData_Dairy.SourceData_Dairy_LiveweightGain_Title()</f>
        <v>Table A.1.3.3: Dairy cattle - Liveweight gain (kg) (LWGj)</v>
      </c>
      <c r="M42" s="1"/>
    </row>
    <row r="43" spans="1:13" ht="20.100000000000001" customHeight="1" x14ac:dyDescent="0.25">
      <c r="A43" s="5" t="str">
        <f>HYPERLINK("#'5.4.1.1-4 Atmos deposition'!A1", "5.4.1.1-4 Atmos. deposition")</f>
        <v>5.4.1.1-4 Atmos. deposition</v>
      </c>
      <c r="D43" s="17" t="str" cm="1">
        <f t="array" ref="D43">SourceData_Dairy.SourceData_Dairy_LiveweightGain_Source()</f>
        <v>VEERG 2026: Table A.1.3.3</v>
      </c>
      <c r="M43" s="1"/>
    </row>
    <row r="44" spans="1:13" ht="20.100000000000001" customHeight="1" x14ac:dyDescent="0.25">
      <c r="A44" s="5" t="str">
        <f>HYPERLINK("#'5.5.1.1-2 Leaching and runoff'!A1", "5.5.1.1-2 Leaching &amp; runoff")</f>
        <v>5.5.1.1-2 Leaching &amp; runoff</v>
      </c>
      <c r="D44" s="1" t="str" cm="1">
        <f t="array" ref="D44">SourceData_Dairy.SourceData_Dairy_LiveweightGain_Variable()</f>
        <v>LWGj</v>
      </c>
      <c r="M44" s="1"/>
    </row>
    <row r="45" spans="1:13" ht="20.100000000000001" customHeight="1" x14ac:dyDescent="0.25">
      <c r="A45" s="5" t="str">
        <f>HYPERLINK("#'6.2.1.1-2 Pasture residue N2O'!A1", "6.2.1.1-2 Pasture residue N2O")</f>
        <v>6.2.1.1-2 Pasture residue N2O</v>
      </c>
      <c r="D45" s="9" t="str" cm="1">
        <f t="array" ref="D45">SourceData_Dairy.SourceData_Dairy_LiveweightGain_Unit()</f>
        <v>kg</v>
      </c>
      <c r="M45" s="1"/>
    </row>
    <row r="46" spans="1:13" ht="20.100000000000001" customHeight="1" x14ac:dyDescent="0.25">
      <c r="A46" s="5" t="str">
        <f>HYPERLINK("#'6.3.1.1-2 Leach runoff pasture'!A1", "6.3.1.1-2 Leach &amp; runoff (pasture)")</f>
        <v>6.3.1.1-2 Leach &amp; runoff (pasture)</v>
      </c>
      <c r="D46" s="19" t="s">
        <v>295</v>
      </c>
      <c r="E46" s="19" t="s">
        <v>587</v>
      </c>
      <c r="F46" s="19" t="s">
        <v>588</v>
      </c>
      <c r="G46" s="19" t="s">
        <v>589</v>
      </c>
      <c r="H46" s="19" t="s">
        <v>590</v>
      </c>
      <c r="M46" s="1"/>
    </row>
    <row r="47" spans="1:13" ht="20.100000000000001" customHeight="1" x14ac:dyDescent="0.25">
      <c r="A47" s="5" t="str">
        <f>HYPERLINK("#'8.1.1.1-2 Transport fuel'!A1", "8.1.1.1-2 Transport fuel")</f>
        <v>8.1.1.1-2 Transport fuel</v>
      </c>
      <c r="D47" s="19" cm="1">
        <f t="array" ref="D47">Common_InputFunctions.Utility_DisplayArrayInTable(SourceData_Dairy.SourceData_Dairy_LiveweightGain_Data(), Table_SourceData_Dairy_LWGj[[#Headers],[Milking cows]], 0)</f>
        <v>1.6E-2</v>
      </c>
      <c r="E47" s="19" cm="1">
        <f t="array" ref="E47">Common_InputFunctions.Utility_DisplayArrayInTable(SourceData_Dairy.SourceData_Dairy_LiveweightGain_Data(), Table_SourceData_Dairy_LWGj[[#Headers],[Milking cows]], 0)</f>
        <v>0.6</v>
      </c>
      <c r="F47" s="19" cm="1">
        <f t="array" ref="F47">Common_InputFunctions.Utility_DisplayArrayInTable(SourceData_Dairy.SourceData_Dairy_LiveweightGain_Data(), Table_SourceData_Dairy_LWGj[[#Headers],[Milking cows]], 0)</f>
        <v>0.56999999999999995</v>
      </c>
      <c r="G47" s="19" cm="1">
        <f t="array" ref="G47">Common_InputFunctions.Utility_DisplayArrayInTable(SourceData_Dairy.SourceData_Dairy_LiveweightGain_Data(), Table_SourceData_Dairy_LWGj[[#Headers],[Milking cows]], 0)</f>
        <v>0.1</v>
      </c>
      <c r="H47" s="19" cm="1">
        <f t="array" ref="H47">Common_InputFunctions.Utility_DisplayArrayInTable(SourceData_Dairy.SourceData_Dairy_LiveweightGain_Data(), Table_SourceData_Dairy_LWGj[[#Headers],[Milking cows]], 0)</f>
        <v>0.8</v>
      </c>
      <c r="M47" s="1"/>
    </row>
    <row r="48" spans="1:13" ht="20.100000000000001" customHeight="1" x14ac:dyDescent="0.25">
      <c r="A48" s="5" t="str">
        <f>HYPERLINK("#'8.2.1.1-2 Stationary fuel'!A1", "8.2.1.1-2 Stationary fuel")</f>
        <v>8.2.1.1-2 Stationary fuel</v>
      </c>
      <c r="M48" s="1"/>
    </row>
    <row r="49" spans="1:13" ht="20.100000000000001" customHeight="1" x14ac:dyDescent="0.25">
      <c r="A49" s="5" t="str">
        <f>HYPERLINK("#'10.1.1-2 Solid waste treatment'!A1", "10.1.1.1-2 Solid waste")</f>
        <v>10.1.1.1-2 Solid waste</v>
      </c>
      <c r="M49" s="1"/>
    </row>
    <row r="50" spans="1:13" ht="20.100000000000001" customHeight="1" x14ac:dyDescent="0.25">
      <c r="A50" s="5" t="str">
        <f>HYPERLINK("#'14.1.1-2 Purchased electricity'!A1", "14.1.1-2 Purchased electricity")</f>
        <v>14.1.1-2 Purchased electricity</v>
      </c>
      <c r="D50" s="2" t="str" cm="1">
        <f t="array" ref="D50">SourceData_Dairy.SourceData_Dairy_ReferenceWeights_Title()</f>
        <v>Table A.1.3.4: Dairy cattle - Reference weights (kg) (WRj)</v>
      </c>
      <c r="M50" s="1"/>
    </row>
    <row r="51" spans="1:13" ht="20.100000000000001" customHeight="1" x14ac:dyDescent="0.25">
      <c r="A51" s="5" t="str">
        <f>HYPERLINK("#'15 Scope 3'!A1", "15 Scope 3")</f>
        <v>15 Scope 3</v>
      </c>
      <c r="D51" s="17" t="str" cm="1">
        <f t="array" ref="D51">SourceData_Dairy.SourceData_Dairy_ReferenceWeights_Source()</f>
        <v>VEERG 2026: Table A.1.3.4</v>
      </c>
      <c r="M51" s="1"/>
    </row>
    <row r="52" spans="1:13" ht="20.100000000000001" customHeight="1" x14ac:dyDescent="0.25">
      <c r="A52" s="5" t="str">
        <f>HYPERLINK("#'Calcs - Manure sent off-site'!A1", "Calcs - Manure sent off-site")</f>
        <v>Calcs - Manure sent off-site</v>
      </c>
      <c r="D52" s="1" t="str" cm="1">
        <f t="array" ref="D52">SourceData_Dairy.SourceData_Dairy_ReferenceWeights_Variable()</f>
        <v>WRj</v>
      </c>
      <c r="M52" s="1"/>
    </row>
    <row r="53" spans="1:13" ht="20.100000000000001" customHeight="1" x14ac:dyDescent="0.25">
      <c r="D53" s="9" t="str" cm="1">
        <f t="array" ref="D53">SourceData_Dairy.SourceData_Dairy_ReferenceWeights_Unit()</f>
        <v>kg</v>
      </c>
      <c r="M53" s="1"/>
    </row>
    <row r="54" spans="1:13" ht="20.100000000000001" customHeight="1" x14ac:dyDescent="0.25">
      <c r="D54" s="142" t="s">
        <v>295</v>
      </c>
      <c r="E54" s="142" t="s">
        <v>587</v>
      </c>
      <c r="F54" s="142" t="s">
        <v>588</v>
      </c>
      <c r="G54" s="142" t="s">
        <v>589</v>
      </c>
      <c r="H54" s="142" t="s">
        <v>590</v>
      </c>
      <c r="M54" s="1"/>
    </row>
    <row r="55" spans="1:13" ht="20.100000000000001" customHeight="1" x14ac:dyDescent="0.25">
      <c r="A55" s="83" t="s">
        <v>1</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A56" s="84" t="str">
        <f>HYPERLINK("#'Constants - Dairy'!A1", "Constants - Dairy")</f>
        <v>Constants - Dairy</v>
      </c>
      <c r="M56" s="1"/>
    </row>
    <row r="57" spans="1:13" ht="20.100000000000001" customHeight="1" x14ac:dyDescent="0.25">
      <c r="A57" s="5" t="str">
        <f>HYPERLINK("#'Constants - Ag Residue'!A1", "Constants - Ag residue")</f>
        <v>Constants - Ag residue</v>
      </c>
      <c r="M57" s="1"/>
    </row>
    <row r="58" spans="1:13" ht="20.100000000000001" customHeight="1" x14ac:dyDescent="0.25">
      <c r="A58" s="5" t="str">
        <f>HYPERLINK("#'Constants - Common Livestock'!A1", "Constants - Common Livestock")</f>
        <v>Constants - Common Livestock</v>
      </c>
      <c r="D58" s="2" t="str" cm="1">
        <f t="array" ref="D58">SourceData_Dairy.SourceData_Dairy_PreWeanedCalves_Title()</f>
        <v>Table A.1.3.5: Dairy cattle - Data for pre - weaned calves</v>
      </c>
      <c r="M58" s="1"/>
    </row>
    <row r="59" spans="1:13" ht="20.100000000000001" customHeight="1" x14ac:dyDescent="0.25">
      <c r="A59" s="5" t="str">
        <f>HYPERLINK("#'Constants - Electricity'!A1", "Constants - Electricity")</f>
        <v>Constants - Electricity</v>
      </c>
      <c r="D59" s="17" t="str" cm="1">
        <f t="array" ref="D59">SourceData_Dairy.SourceData_Dairy_PreWeanedCalves_Source()</f>
        <v>VEERG 2026: Table A.1.3.5</v>
      </c>
      <c r="M59" s="1"/>
    </row>
    <row r="60" spans="1:13" ht="20.100000000000001" customHeight="1" x14ac:dyDescent="0.25">
      <c r="A60" s="5" t="str">
        <f>HYPERLINK("#'Constants - Fertiliser'!A1", "Constants - Fertiliser")</f>
        <v>Constants - Fertiliser</v>
      </c>
      <c r="D60" s="1" t="str" cm="1">
        <f t="array" ref="D60">SourceData_Dairy.SourceData_Dairy_PreWeanedCalves_Variable()</f>
        <v>VSj=3,5; NPWj=3,5</v>
      </c>
      <c r="M60" s="1"/>
    </row>
    <row r="61" spans="1:13" ht="20.100000000000001" customHeight="1" x14ac:dyDescent="0.25">
      <c r="A61" s="5" t="str">
        <f>HYPERLINK("#'Constants - Fuel'!A1", "Constants - Fuel")</f>
        <v>Constants - Fuel</v>
      </c>
      <c r="D61" s="9" t="str" cm="1">
        <f t="array" ref="D61">SourceData_Dairy.SourceData_Dairy_PreWeanedCalves_Unit()</f>
        <v>kg/day</v>
      </c>
      <c r="M61" s="1"/>
    </row>
    <row r="62" spans="1:13" ht="20.100000000000001" customHeight="1" x14ac:dyDescent="0.25">
      <c r="A62" s="5" t="str">
        <f>HYPERLINK("#'Constants - Scope 3'!A1", "Constants - Scope 3")</f>
        <v>Constants - Scope 3</v>
      </c>
      <c r="D62" s="19" t="s">
        <v>591</v>
      </c>
      <c r="E62" s="19" t="s">
        <v>592</v>
      </c>
      <c r="F62" s="19" t="s">
        <v>593</v>
      </c>
      <c r="G62" s="19" t="s">
        <v>594</v>
      </c>
      <c r="M62" s="1"/>
    </row>
    <row r="63" spans="1:13" ht="20.100000000000001" customHeight="1" x14ac:dyDescent="0.25">
      <c r="A63" s="5" t="str">
        <f>HYPERLINK("#'Constants - Common'!A1", "Constants - Common")</f>
        <v>Constants - Common</v>
      </c>
      <c r="D63" s="19" t="str" cm="1">
        <f t="array" ref="D63">Common_InputFunctions.Utility_DisplayArrayInTable(SourceData_Dairy.SourceData_Dairy_PreWeanedCalves_Data(), Table_SourceData_Dairy_DataPreWeaned[[#Headers],[Animal class j]], -1)</f>
        <v>Heifers&lt;1</v>
      </c>
      <c r="E63" s="19" cm="1">
        <f t="array" ref="E63">Common_InputFunctions.Utility_DisplayArrayInTable(SourceData_Dairy.SourceData_Dairy_PreWeanedCalves_Data(), Table_SourceData_Dairy_DataPreWeaned[[#Headers],[Animal class j]], -1)</f>
        <v>1.7600000000000001E-2</v>
      </c>
      <c r="F63" s="19" cm="1">
        <f t="array" ref="F63">Common_InputFunctions.Utility_DisplayArrayInTable(SourceData_Dairy.SourceData_Dairy_PreWeanedCalves_Data(), Table_SourceData_Dairy_DataPreWeaned[[#Headers],[Animal class j]], -1)</f>
        <v>0.26850000000000002</v>
      </c>
      <c r="G63" s="1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A64" s="5" t="str">
        <f>HYPERLINK("#'Constants - Solid Waste'!A1", "Constants - Solid Waste")</f>
        <v>Constants - Solid Waste</v>
      </c>
      <c r="D64" s="19" t="str" cm="1">
        <f t="array" ref="D64">Common_InputFunctions.Utility_DisplayArrayInTable(SourceData_Dairy.SourceData_Dairy_PreWeanedCalves_Data(), Table_SourceData_Dairy_DataPreWeaned[[#Headers],[Animal class j]], -1)</f>
        <v>Bulls&lt;1</v>
      </c>
      <c r="E64" s="19" cm="1">
        <f t="array" ref="E64">Common_InputFunctions.Utility_DisplayArrayInTable(SourceData_Dairy.SourceData_Dairy_PreWeanedCalves_Data(), Table_SourceData_Dairy_DataPreWeaned[[#Headers],[Animal class j]], -1)</f>
        <v>2.0400000000000001E-2</v>
      </c>
      <c r="F64" s="19" cm="1">
        <f t="array" ref="F64">Common_InputFunctions.Utility_DisplayArrayInTable(SourceData_Dairy.SourceData_Dairy_PreWeanedCalves_Data(), Table_SourceData_Dairy_DataPreWeaned[[#Headers],[Animal class j]], -1)</f>
        <v>0.30030000000000001</v>
      </c>
      <c r="G64" s="1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A65" s="5" t="str">
        <f>HYPERLINK("#'Acknowledgements'!A1", "Acknowledgements")</f>
        <v>Acknowledgements</v>
      </c>
      <c r="M65" s="1"/>
    </row>
    <row r="66" spans="1:22" ht="20.100000000000001" customHeight="1" x14ac:dyDescent="0.25">
      <c r="M66" s="1"/>
    </row>
    <row r="67" spans="1:22" ht="20.100000000000001" customHeight="1" x14ac:dyDescent="0.25">
      <c r="D67" s="2" t="str" cm="1">
        <f t="array" ref="D67">SourceData_Dairy.SourceData_Dairy_MCF_Title()</f>
        <v>Table A.1.3.6: Dairy cattle - Dairy cattle - MCFs (fraction) (MCFjm)</v>
      </c>
      <c r="M67" s="1"/>
    </row>
    <row r="68" spans="1:22" ht="20.100000000000001" customHeight="1" x14ac:dyDescent="0.25">
      <c r="D68" s="17"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9" t="str" cm="1">
        <f t="array" ref="D70">SourceData_Dairy.SourceData_Dairy_MCF_Unit()</f>
        <v>fraction</v>
      </c>
      <c r="M70" s="1"/>
    </row>
    <row r="71" spans="1:22" ht="20.100000000000001" customHeight="1" x14ac:dyDescent="0.25">
      <c r="D71" s="25" t="str" cm="1">
        <f t="array" ref="D71">SourceData_Dairy.SourceData_Dairy_MCF_Variation()</f>
        <v>VARIATION OF SOURCE: Added 'NIR reference' column to aid lookup</v>
      </c>
      <c r="M71" s="1"/>
      <c r="V71" s="1"/>
    </row>
    <row r="72" spans="1:22" ht="20.100000000000001" customHeight="1" x14ac:dyDescent="0.25">
      <c r="D72" s="19" t="s">
        <v>595</v>
      </c>
      <c r="E72" s="19" t="s">
        <v>596</v>
      </c>
      <c r="F72" s="19" t="s">
        <v>597</v>
      </c>
      <c r="G72" s="19" t="s">
        <v>598</v>
      </c>
      <c r="H72" s="19" t="s">
        <v>599</v>
      </c>
      <c r="I72" s="19" t="s">
        <v>600</v>
      </c>
      <c r="J72" s="19" t="s">
        <v>601</v>
      </c>
      <c r="K72" s="19" t="s">
        <v>602</v>
      </c>
      <c r="L72" s="19" t="s">
        <v>603</v>
      </c>
      <c r="M72" s="19" t="s">
        <v>604</v>
      </c>
      <c r="V72" s="1"/>
    </row>
    <row r="73" spans="1:22" ht="20.100000000000001" customHeight="1" x14ac:dyDescent="0.25">
      <c r="D73" s="19" t="str" cm="1">
        <f t="array" ref="D73">Common_InputFunctions.Utility_DisplayArrayInTable(SourceData_Dairy.SourceData_Dairy_MCF_Data(), Table_SourceData_Dairy_MCFjm[[#Headers],[MMS m]], 0)</f>
        <v>Pasture</v>
      </c>
      <c r="E73" s="19" cm="1">
        <f t="array" ref="E73">Common_InputFunctions.Utility_DisplayArrayInTable(SourceData_Dairy.SourceData_Dairy_MCF_Data(), Table_SourceData_Dairy_MCFjm[[#Headers],[MMS m]], 0)</f>
        <v>0.01</v>
      </c>
      <c r="F73" s="19" cm="1">
        <f t="array" ref="F73">Common_InputFunctions.Utility_DisplayArrayInTable(SourceData_Dairy.SourceData_Dairy_MCF_Data(), Table_SourceData_Dairy_MCFjm[[#Headers],[MMS m]], 0)</f>
        <v>0.01</v>
      </c>
      <c r="G73" s="19" cm="1">
        <f t="array" ref="G73">Common_InputFunctions.Utility_DisplayArrayInTable(SourceData_Dairy.SourceData_Dairy_MCF_Data(), Table_SourceData_Dairy_MCFjm[[#Headers],[MMS m]], 0)</f>
        <v>0.02</v>
      </c>
      <c r="H73" s="19" cm="1">
        <f t="array" ref="H73">Common_InputFunctions.Utility_DisplayArrayInTable(SourceData_Dairy.SourceData_Dairy_MCF_Data(), Table_SourceData_Dairy_MCFjm[[#Headers],[MMS m]], 0)</f>
        <v>0.01</v>
      </c>
      <c r="I73" s="19" cm="1">
        <f t="array" ref="I73">Common_InputFunctions.Utility_DisplayArrayInTable(SourceData_Dairy.SourceData_Dairy_MCF_Data(), Table_SourceData_Dairy_MCFjm[[#Headers],[MMS m]], 0)</f>
        <v>0.01</v>
      </c>
      <c r="J73" s="19" cm="1">
        <f t="array" ref="J73">Common_InputFunctions.Utility_DisplayArrayInTable(SourceData_Dairy.SourceData_Dairy_MCF_Data(), Table_SourceData_Dairy_MCFjm[[#Headers],[MMS m]], 0)</f>
        <v>0.01</v>
      </c>
      <c r="K73" s="19" cm="1">
        <f t="array" ref="K73">Common_InputFunctions.Utility_DisplayArrayInTable(SourceData_Dairy.SourceData_Dairy_MCF_Data(), Table_SourceData_Dairy_MCFjm[[#Headers],[MMS m]], 0)</f>
        <v>0.01</v>
      </c>
      <c r="L73" s="19" cm="1">
        <f t="array" ref="L73">Common_InputFunctions.Utility_DisplayArrayInTable(SourceData_Dairy.SourceData_Dairy_MCF_Data(), Table_SourceData_Dairy_MCFjm[[#Headers],[MMS m]], 0)</f>
        <v>0.01</v>
      </c>
      <c r="M73" s="1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19" cm="1">
        <f t="array" ref="E74">Common_InputFunctions.Utility_DisplayArrayInTable(SourceData_Dairy.SourceData_Dairy_MCF_Data(), Table_SourceData_Dairy_MCFjm[[#Headers],[MMS m]], 0)</f>
        <v>0.72</v>
      </c>
      <c r="F74" s="19" cm="1">
        <f t="array" ref="F74">Common_InputFunctions.Utility_DisplayArrayInTable(SourceData_Dairy.SourceData_Dairy_MCF_Data(), Table_SourceData_Dairy_MCFjm[[#Headers],[MMS m]], 0)</f>
        <v>0.76</v>
      </c>
      <c r="G74" s="19" cm="1">
        <f t="array" ref="G74">Common_InputFunctions.Utility_DisplayArrayInTable(SourceData_Dairy.SourceData_Dairy_MCF_Data(), Table_SourceData_Dairy_MCFjm[[#Headers],[MMS m]], 0)</f>
        <v>0.8</v>
      </c>
      <c r="H74" s="19" cm="1">
        <f t="array" ref="H74">Common_InputFunctions.Utility_DisplayArrayInTable(SourceData_Dairy.SourceData_Dairy_MCF_Data(), Table_SourceData_Dairy_MCFjm[[#Headers],[MMS m]], 0)</f>
        <v>0.78</v>
      </c>
      <c r="I74" s="19" cm="1">
        <f t="array" ref="I74">Common_InputFunctions.Utility_DisplayArrayInTable(SourceData_Dairy.SourceData_Dairy_MCF_Data(), Table_SourceData_Dairy_MCFjm[[#Headers],[MMS m]], 0)</f>
        <v>0.74</v>
      </c>
      <c r="J74" s="19" cm="1">
        <f t="array" ref="J74">Common_InputFunctions.Utility_DisplayArrayInTable(SourceData_Dairy.SourceData_Dairy_MCF_Data(), Table_SourceData_Dairy_MCFjm[[#Headers],[MMS m]], 0)</f>
        <v>0.69</v>
      </c>
      <c r="K74" s="19" cm="1">
        <f t="array" ref="K74">Common_InputFunctions.Utility_DisplayArrayInTable(SourceData_Dairy.SourceData_Dairy_MCF_Data(), Table_SourceData_Dairy_MCFjm[[#Headers],[MMS m]], 0)</f>
        <v>0.73</v>
      </c>
      <c r="L74" s="19" cm="1">
        <f t="array" ref="L74">Common_InputFunctions.Utility_DisplayArrayInTable(SourceData_Dairy.SourceData_Dairy_MCF_Data(), Table_SourceData_Dairy_MCFjm[[#Headers],[MMS m]], 0)</f>
        <v>0.76</v>
      </c>
      <c r="M74" s="1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19" cm="1">
        <f t="array" ref="E75">Common_InputFunctions.Utility_DisplayArrayInTable(SourceData_Dairy.SourceData_Dairy_MCF_Data(), Table_SourceData_Dairy_MCFjm[[#Headers],[MMS m]], 0)</f>
        <v>5.0000000000000001E-3</v>
      </c>
      <c r="F75" s="19" cm="1">
        <f t="array" ref="F75">Common_InputFunctions.Utility_DisplayArrayInTable(SourceData_Dairy.SourceData_Dairy_MCF_Data(), Table_SourceData_Dairy_MCFjm[[#Headers],[MMS m]], 0)</f>
        <v>5.0000000000000001E-3</v>
      </c>
      <c r="G75" s="19" cm="1">
        <f t="array" ref="G75">Common_InputFunctions.Utility_DisplayArrayInTable(SourceData_Dairy.SourceData_Dairy_MCF_Data(), Table_SourceData_Dairy_MCFjm[[#Headers],[MMS m]], 0)</f>
        <v>0.01</v>
      </c>
      <c r="H75" s="19" cm="1">
        <f t="array" ref="H75">Common_InputFunctions.Utility_DisplayArrayInTable(SourceData_Dairy.SourceData_Dairy_MCF_Data(), Table_SourceData_Dairy_MCFjm[[#Headers],[MMS m]], 0)</f>
        <v>5.0000000000000001E-3</v>
      </c>
      <c r="I75" s="19" cm="1">
        <f t="array" ref="I75">Common_InputFunctions.Utility_DisplayArrayInTable(SourceData_Dairy.SourceData_Dairy_MCF_Data(), Table_SourceData_Dairy_MCFjm[[#Headers],[MMS m]], 0)</f>
        <v>5.0000000000000001E-3</v>
      </c>
      <c r="J75" s="19" cm="1">
        <f t="array" ref="J75">Common_InputFunctions.Utility_DisplayArrayInTable(SourceData_Dairy.SourceData_Dairy_MCF_Data(), Table_SourceData_Dairy_MCFjm[[#Headers],[MMS m]], 0)</f>
        <v>1E-3</v>
      </c>
      <c r="K75" s="19" cm="1">
        <f t="array" ref="K75">Common_InputFunctions.Utility_DisplayArrayInTable(SourceData_Dairy.SourceData_Dairy_MCF_Data(), Table_SourceData_Dairy_MCFjm[[#Headers],[MMS m]], 0)</f>
        <v>5.0000000000000001E-3</v>
      </c>
      <c r="L75" s="19" cm="1">
        <f t="array" ref="L75">Common_InputFunctions.Utility_DisplayArrayInTable(SourceData_Dairy.SourceData_Dairy_MCF_Data(), Table_SourceData_Dairy_MCFjm[[#Headers],[MMS m]], 0)</f>
        <v>5.0000000000000001E-3</v>
      </c>
      <c r="M75" s="1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19" cm="1">
        <f t="array" ref="E76">Common_InputFunctions.Utility_DisplayArrayInTable(SourceData_Dairy.SourceData_Dairy_MCF_Data(), Table_SourceData_Dairy_MCFjm[[#Headers],[MMS m]], 0)</f>
        <v>0.15</v>
      </c>
      <c r="F76" s="19" cm="1">
        <f t="array" ref="F76">Common_InputFunctions.Utility_DisplayArrayInTable(SourceData_Dairy.SourceData_Dairy_MCF_Data(), Table_SourceData_Dairy_MCFjm[[#Headers],[MMS m]], 0)</f>
        <v>0.18</v>
      </c>
      <c r="G76" s="19" cm="1">
        <f t="array" ref="G76">Common_InputFunctions.Utility_DisplayArrayInTable(SourceData_Dairy.SourceData_Dairy_MCF_Data(), Table_SourceData_Dairy_MCFjm[[#Headers],[MMS m]], 0)</f>
        <v>0.5</v>
      </c>
      <c r="H76" s="19" cm="1">
        <f t="array" ref="H76">Common_InputFunctions.Utility_DisplayArrayInTable(SourceData_Dairy.SourceData_Dairy_MCF_Data(), Table_SourceData_Dairy_MCFjm[[#Headers],[MMS m]], 0)</f>
        <v>0.24</v>
      </c>
      <c r="I76" s="19" cm="1">
        <f t="array" ref="I76">Common_InputFunctions.Utility_DisplayArrayInTable(SourceData_Dairy.SourceData_Dairy_MCF_Data(), Table_SourceData_Dairy_MCFjm[[#Headers],[MMS m]], 0)</f>
        <v>0.17</v>
      </c>
      <c r="J76" s="19" cm="1">
        <f t="array" ref="J76">Common_InputFunctions.Utility_DisplayArrayInTable(SourceData_Dairy.SourceData_Dairy_MCF_Data(), Table_SourceData_Dairy_MCFjm[[#Headers],[MMS m]], 0)</f>
        <v>0.13</v>
      </c>
      <c r="K76" s="19" cm="1">
        <f t="array" ref="K76">Common_InputFunctions.Utility_DisplayArrayInTable(SourceData_Dairy.SourceData_Dairy_MCF_Data(), Table_SourceData_Dairy_MCFjm[[#Headers],[MMS m]], 0)</f>
        <v>0.17</v>
      </c>
      <c r="L76" s="19" cm="1">
        <f t="array" ref="L76">Common_InputFunctions.Utility_DisplayArrayInTable(SourceData_Dairy.SourceData_Dairy_MCF_Data(), Table_SourceData_Dairy_MCFjm[[#Headers],[MMS m]], 0)</f>
        <v>0.18</v>
      </c>
      <c r="M76" s="1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19" cm="1">
        <f t="array" ref="E77">Common_InputFunctions.Utility_DisplayArrayInTable(SourceData_Dairy.SourceData_Dairy_MCF_Data(), Table_SourceData_Dairy_MCFjm[[#Headers],[MMS m]], 0)</f>
        <v>0.02</v>
      </c>
      <c r="F77" s="19" cm="1">
        <f t="array" ref="F77">Common_InputFunctions.Utility_DisplayArrayInTable(SourceData_Dairy.SourceData_Dairy_MCF_Data(), Table_SourceData_Dairy_MCFjm[[#Headers],[MMS m]], 0)</f>
        <v>0.02</v>
      </c>
      <c r="G77" s="19" cm="1">
        <f t="array" ref="G77">Common_InputFunctions.Utility_DisplayArrayInTable(SourceData_Dairy.SourceData_Dairy_MCF_Data(), Table_SourceData_Dairy_MCFjm[[#Headers],[MMS m]], 0)</f>
        <v>0.02</v>
      </c>
      <c r="H77" s="19" cm="1">
        <f t="array" ref="H77">Common_InputFunctions.Utility_DisplayArrayInTable(SourceData_Dairy.SourceData_Dairy_MCF_Data(), Table_SourceData_Dairy_MCFjm[[#Headers],[MMS m]], 0)</f>
        <v>0.02</v>
      </c>
      <c r="I77" s="19" cm="1">
        <f t="array" ref="I77">Common_InputFunctions.Utility_DisplayArrayInTable(SourceData_Dairy.SourceData_Dairy_MCF_Data(), Table_SourceData_Dairy_MCFjm[[#Headers],[MMS m]], 0)</f>
        <v>0.02</v>
      </c>
      <c r="J77" s="19" cm="1">
        <f t="array" ref="J77">Common_InputFunctions.Utility_DisplayArrayInTable(SourceData_Dairy.SourceData_Dairy_MCF_Data(), Table_SourceData_Dairy_MCFjm[[#Headers],[MMS m]], 0)</f>
        <v>0.02</v>
      </c>
      <c r="K77" s="19" cm="1">
        <f t="array" ref="K77">Common_InputFunctions.Utility_DisplayArrayInTable(SourceData_Dairy.SourceData_Dairy_MCF_Data(), Table_SourceData_Dairy_MCFjm[[#Headers],[MMS m]], 0)</f>
        <v>0.02</v>
      </c>
      <c r="L77" s="19" cm="1">
        <f t="array" ref="L77">Common_InputFunctions.Utility_DisplayArrayInTable(SourceData_Dairy.SourceData_Dairy_MCF_Data(), Table_SourceData_Dairy_MCFjm[[#Headers],[MMS m]], 0)</f>
        <v>0.02</v>
      </c>
      <c r="M77" s="1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19" cm="1">
        <f t="array" ref="E78">Common_InputFunctions.Utility_DisplayArrayInTable(SourceData_Dairy.SourceData_Dairy_MCF_Data(), Table_SourceData_Dairy_MCFjm[[#Headers],[MMS m]], 0)</f>
        <v>0</v>
      </c>
      <c r="F78" s="19" cm="1">
        <f t="array" ref="F78">Common_InputFunctions.Utility_DisplayArrayInTable(SourceData_Dairy.SourceData_Dairy_MCF_Data(), Table_SourceData_Dairy_MCFjm[[#Headers],[MMS m]], 0)</f>
        <v>0</v>
      </c>
      <c r="G78" s="19" cm="1">
        <f t="array" ref="G78">Common_InputFunctions.Utility_DisplayArrayInTable(SourceData_Dairy.SourceData_Dairy_MCF_Data(), Table_SourceData_Dairy_MCFjm[[#Headers],[MMS m]], 0)</f>
        <v>0</v>
      </c>
      <c r="H78" s="19" cm="1">
        <f t="array" ref="H78">Common_InputFunctions.Utility_DisplayArrayInTable(SourceData_Dairy.SourceData_Dairy_MCF_Data(), Table_SourceData_Dairy_MCFjm[[#Headers],[MMS m]], 0)</f>
        <v>0</v>
      </c>
      <c r="I78" s="19" cm="1">
        <f t="array" ref="I78">Common_InputFunctions.Utility_DisplayArrayInTable(SourceData_Dairy.SourceData_Dairy_MCF_Data(), Table_SourceData_Dairy_MCFjm[[#Headers],[MMS m]], 0)</f>
        <v>0</v>
      </c>
      <c r="J78" s="19" cm="1">
        <f t="array" ref="J78">Common_InputFunctions.Utility_DisplayArrayInTable(SourceData_Dairy.SourceData_Dairy_MCF_Data(), Table_SourceData_Dairy_MCFjm[[#Headers],[MMS m]], 0)</f>
        <v>0</v>
      </c>
      <c r="K78" s="19" cm="1">
        <f t="array" ref="K78">Common_InputFunctions.Utility_DisplayArrayInTable(SourceData_Dairy.SourceData_Dairy_MCF_Data(), Table_SourceData_Dairy_MCFjm[[#Headers],[MMS m]], 0)</f>
        <v>0</v>
      </c>
      <c r="L78" s="19" cm="1">
        <f t="array" ref="L78">Common_InputFunctions.Utility_DisplayArrayInTable(SourceData_Dairy.SourceData_Dairy_MCF_Data(), Table_SourceData_Dairy_MCFjm[[#Headers],[MMS m]], 0)</f>
        <v>0</v>
      </c>
      <c r="M78" s="19" t="str" cm="1">
        <f t="array" ref="M78">Common_InputFunctions.Utility_DisplayArrayInTable(SourceData_Dairy.SourceData_Dairy_MCF_Data(), Table_SourceData_Dairy_MCFjm[[#Headers],[MMS m]], 0)</f>
        <v>Direct application</v>
      </c>
    </row>
    <row r="79" spans="1:22" ht="20.100000000000001" customHeight="1" x14ac:dyDescent="0.25">
      <c r="M79" s="1"/>
    </row>
    <row r="80" spans="1:22" ht="20.100000000000001" customHeight="1" x14ac:dyDescent="0.25">
      <c r="M80" s="1"/>
    </row>
    <row r="81" spans="4:22" ht="20.100000000000001" customHeight="1" x14ac:dyDescent="0.25">
      <c r="D81" s="2" t="str" cm="1">
        <f t="array" ref="D81">SourceData_Dairy.SourceData_Dairy_NitrousOxideEFsAndFracGASM_Title()</f>
        <v>Table A.1.3.7: Dairy cattle - Nitrous oxide EFs and fraction of N volatilised by MMS</v>
      </c>
      <c r="M81" s="1"/>
    </row>
    <row r="82" spans="4:22" ht="20.100000000000001" customHeight="1" x14ac:dyDescent="0.25">
      <c r="D82" s="17"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9" t="str" cm="1">
        <f t="array" ref="D84">SourceData_Dairy.SourceData_Dairy_NitrousOxideEFsAndFracGASM_Unit()</f>
        <v>kg N2O-N/kg N excreted</v>
      </c>
      <c r="M84" s="1"/>
    </row>
    <row r="85" spans="4:22" ht="20.100000000000001" customHeight="1" x14ac:dyDescent="0.25">
      <c r="D85" s="25" t="str" cm="1">
        <f t="array" ref="D85">SourceData_Dairy.SourceData_Dairy_NitrousOxideEFsAndFracGASM_Variation()</f>
        <v>VARIATION OF SOURCE: Added 'NIR reference' column to aid lookup</v>
      </c>
      <c r="M85" s="1"/>
      <c r="V85" s="1"/>
    </row>
    <row r="86" spans="4:22" ht="20.100000000000001" customHeight="1" x14ac:dyDescent="0.25">
      <c r="D86" s="19" t="s">
        <v>595</v>
      </c>
      <c r="E86" s="19" t="s">
        <v>605</v>
      </c>
      <c r="F86" s="19" t="s">
        <v>606</v>
      </c>
      <c r="G86" s="19" t="s">
        <v>604</v>
      </c>
      <c r="M86" s="1"/>
      <c r="V86" s="1"/>
    </row>
    <row r="87" spans="4:22" ht="20.100000000000001" customHeight="1" x14ac:dyDescent="0.25">
      <c r="D87" s="19" t="str" cm="1">
        <f t="array" ref="D87">Common_InputFunctions.Utility_DisplayArrayInTable(SourceData_Dairy.SourceData_Dairy_NitrousOxideEFsAndFracGASM_Data(), Table_SourceData_Dairy_EFmFracGASM[[#Headers],[MMS m]], 0)</f>
        <v>M=14 Pasture</v>
      </c>
      <c r="E87" s="19" cm="1">
        <f t="array" ref="E87">Common_InputFunctions.Utility_DisplayArrayInTable(SourceData_Dairy.SourceData_Dairy_NitrousOxideEFsAndFracGASM_Data(), Table_SourceData_Dairy_EFmFracGASM[[#Headers],[MMS m]], 0)</f>
        <v>0</v>
      </c>
      <c r="F87" s="19" cm="1">
        <f t="array" ref="F87">Common_InputFunctions.Utility_DisplayArrayInTable(SourceData_Dairy.SourceData_Dairy_NitrousOxideEFsAndFracGASM_Data(), Table_SourceData_Dairy_EFmFracGASM[[#Headers],[MMS m]], 0)</f>
        <v>0</v>
      </c>
      <c r="G87" s="1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19" cm="1">
        <f t="array" ref="E88">Common_InputFunctions.Utility_DisplayArrayInTable(SourceData_Dairy.SourceData_Dairy_NitrousOxideEFsAndFracGASM_Data(), Table_SourceData_Dairy_EFmFracGASM[[#Headers],[MMS m]], 0)</f>
        <v>0</v>
      </c>
      <c r="F88" s="19" cm="1">
        <f t="array" ref="F88">Common_InputFunctions.Utility_DisplayArrayInTable(SourceData_Dairy.SourceData_Dairy_NitrousOxideEFsAndFracGASM_Data(), Table_SourceData_Dairy_EFmFracGASM[[#Headers],[MMS m]], 0)</f>
        <v>0.35</v>
      </c>
      <c r="G88" s="1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19" cm="1">
        <f t="array" ref="E89">Common_InputFunctions.Utility_DisplayArrayInTable(SourceData_Dairy.SourceData_Dairy_NitrousOxideEFsAndFracGASM_Data(), Table_SourceData_Dairy_EFmFracGASM[[#Headers],[MMS m]], 0)</f>
        <v>0</v>
      </c>
      <c r="F89" s="19" cm="1">
        <f t="array" ref="F89">Common_InputFunctions.Utility_DisplayArrayInTable(SourceData_Dairy.SourceData_Dairy_NitrousOxideEFsAndFracGASM_Data(), Table_SourceData_Dairy_EFmFracGASM[[#Headers],[MMS m]], 0)</f>
        <v>7.0000000000000007E-2</v>
      </c>
      <c r="G89" s="1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19" cm="1">
        <f t="array" ref="E90">Common_InputFunctions.Utility_DisplayArrayInTable(SourceData_Dairy.SourceData_Dairy_NitrousOxideEFsAndFracGASM_Data(), Table_SourceData_Dairy_EFmFracGASM[[#Headers],[MMS m]], 0)</f>
        <v>0</v>
      </c>
      <c r="F90" s="19" cm="1">
        <f t="array" ref="F90">Common_InputFunctions.Utility_DisplayArrayInTable(SourceData_Dairy.SourceData_Dairy_NitrousOxideEFsAndFracGASM_Data(), Table_SourceData_Dairy_EFmFracGASM[[#Headers],[MMS m]], 0)</f>
        <v>0.2</v>
      </c>
      <c r="G90" s="1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19" cm="1">
        <f t="array" ref="E91">Common_InputFunctions.Utility_DisplayArrayInTable(SourceData_Dairy.SourceData_Dairy_NitrousOxideEFsAndFracGASM_Data(), Table_SourceData_Dairy_EFmFracGASM[[#Headers],[MMS m]], 0)</f>
        <v>5.0000000000000001E-3</v>
      </c>
      <c r="F91" s="19" cm="1">
        <f t="array" ref="F91">Common_InputFunctions.Utility_DisplayArrayInTable(SourceData_Dairy.SourceData_Dairy_NitrousOxideEFsAndFracGASM_Data(), Table_SourceData_Dairy_EFmFracGASM[[#Headers],[MMS m]], 0)</f>
        <v>0.3</v>
      </c>
      <c r="G91" s="1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2"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17"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9" t="str" cm="1">
        <f t="array" ref="D97">SourceData_Dairy.SourceData_Dairy_MethaneProductionPreWeanedCalves_Unit()</f>
        <v>kg CH4/head/day</v>
      </c>
      <c r="M97" s="1"/>
    </row>
    <row r="98" spans="4:13" ht="20.100000000000001" customHeight="1" x14ac:dyDescent="0.25">
      <c r="D98" s="19" t="s">
        <v>591</v>
      </c>
      <c r="E98" s="19" t="s">
        <v>607</v>
      </c>
      <c r="M98" s="1"/>
    </row>
    <row r="99" spans="4:13" ht="20.100000000000001" customHeight="1" x14ac:dyDescent="0.25">
      <c r="D99" s="19" t="str" cm="1">
        <f t="array" ref="D99">Common_InputFunctions.Utility_DisplayArrayInTable(SourceData_Dairy.SourceData_Dairy_MethaneProductionPreWeanedCalves_Data(), Table_SourceData_Dairy_MPWENTERIC[[#Headers],[Animal class j]], 0)</f>
        <v>Heifers &lt; 1 year</v>
      </c>
      <c r="E99" s="19"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19"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2" t="str" cm="1">
        <f t="array" ref="D103">SourceData_Dairy.SourceData_Dairy_IncreasedMetabolicRateMilk_Title()</f>
        <v>Table A.1.3.9: Dairy cattle - Increased metabolic rate when producing milk (MRj)</v>
      </c>
      <c r="M103" s="1"/>
    </row>
    <row r="104" spans="4:13" ht="20.100000000000001" customHeight="1" x14ac:dyDescent="0.25">
      <c r="D104" s="17"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9" t="str" cm="1">
        <f t="array" ref="D106">SourceData_Dairy.SourceData_Dairy_IncreasedMetabolicRateMilk_Unit()</f>
        <v/>
      </c>
      <c r="M106" s="1"/>
    </row>
    <row r="107" spans="4:13" ht="20.100000000000001" customHeight="1" x14ac:dyDescent="0.25">
      <c r="D107" s="19" t="s">
        <v>591</v>
      </c>
      <c r="E107" s="19" t="s">
        <v>608</v>
      </c>
      <c r="M107" s="1"/>
    </row>
    <row r="108" spans="4:13" ht="20.100000000000001" customHeight="1" x14ac:dyDescent="0.25">
      <c r="D108" s="19" t="str" cm="1">
        <f t="array" ref="D108">Common_InputFunctions.Utility_DisplayArrayInTable(SourceData_Dairy.SourceData_Dairy_IncreasedMetabolicRateMilk_Data(), Table_SourceData_Dairy_MRj[[#Headers],[Animal class j]], 0)</f>
        <v>Milking cows, and house cows</v>
      </c>
      <c r="E108" s="19"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19"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2"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17"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9" t="str" cm="1">
        <f t="array" ref="D115">SourceData_Dairy.SourceData_Dairy_FractionVolatileSolidsVoidedMMS_Unit()</f>
        <v>fraction</v>
      </c>
      <c r="M115" s="1"/>
      <c r="V115" s="1"/>
    </row>
    <row r="116" spans="4:22" ht="20.100000000000001" customHeight="1" x14ac:dyDescent="0.25">
      <c r="D116" s="19" t="s">
        <v>609</v>
      </c>
      <c r="E116" s="19" t="s">
        <v>164</v>
      </c>
      <c r="F116" s="19" t="s">
        <v>327</v>
      </c>
      <c r="G116" s="19" t="s">
        <v>610</v>
      </c>
      <c r="M116" s="1"/>
      <c r="V116" s="1"/>
    </row>
    <row r="117" spans="4:22" ht="20.100000000000001" customHeight="1" x14ac:dyDescent="0.25">
      <c r="D117" s="19" t="str" cm="1">
        <f t="array" ref="D117">Common_InputFunctions.Utility_DisplayArrayInTable(SourceData_Dairy.SourceData_Dairy_FractionVolatileSolidsVoidedMMS_Data(), Table_SourceData_Dairy_ProductionSystemTemplates[[#Headers],[Area]], 0)</f>
        <v>System 1: Grazed Only</v>
      </c>
      <c r="E117" s="19" cm="1">
        <f t="array" ref="E117">Common_InputFunctions.Utility_DisplayArrayInTable(SourceData_Dairy.SourceData_Dairy_FractionVolatileSolidsVoidedMMS_Data(), Table_SourceData_Dairy_ProductionSystemTemplates[[#Headers],[Area]], 0)</f>
        <v>0.89</v>
      </c>
      <c r="F117" s="19" cm="1">
        <f t="array" ref="F117">Common_InputFunctions.Utility_DisplayArrayInTable(SourceData_Dairy.SourceData_Dairy_FractionVolatileSolidsVoidedMMS_Data(), Table_SourceData_Dairy_ProductionSystemTemplates[[#Headers],[Area]], 0)</f>
        <v>0.11</v>
      </c>
      <c r="G117" s="1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19" cm="1">
        <f t="array" ref="E118">Common_InputFunctions.Utility_DisplayArrayInTable(SourceData_Dairy.SourceData_Dairy_FractionVolatileSolidsVoidedMMS_Data(), Table_SourceData_Dairy_ProductionSystemTemplates[[#Headers],[Area]], 0)</f>
        <v>0.79</v>
      </c>
      <c r="F118" s="19" cm="1">
        <f t="array" ref="F118">Common_InputFunctions.Utility_DisplayArrayInTable(SourceData_Dairy.SourceData_Dairy_FractionVolatileSolidsVoidedMMS_Data(), Table_SourceData_Dairy_ProductionSystemTemplates[[#Headers],[Area]], 0)</f>
        <v>0.11</v>
      </c>
      <c r="G118" s="1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19" cm="1">
        <f t="array" ref="E119">Common_InputFunctions.Utility_DisplayArrayInTable(SourceData_Dairy.SourceData_Dairy_FractionVolatileSolidsVoidedMMS_Data(), Table_SourceData_Dairy_ProductionSystemTemplates[[#Headers],[Area]], 0)</f>
        <v>0.53400000000000003</v>
      </c>
      <c r="F119" s="19" cm="1">
        <f t="array" ref="F119">Common_InputFunctions.Utility_DisplayArrayInTable(SourceData_Dairy.SourceData_Dairy_FractionVolatileSolidsVoidedMMS_Data(), Table_SourceData_Dairy_ProductionSystemTemplates[[#Headers],[Area]], 0)</f>
        <v>0.11</v>
      </c>
      <c r="G119" s="1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19" cm="1">
        <f t="array" ref="E120">Common_InputFunctions.Utility_DisplayArrayInTable(SourceData_Dairy.SourceData_Dairy_FractionVolatileSolidsVoidedMMS_Data(), Table_SourceData_Dairy_ProductionSystemTemplates[[#Headers],[Area]], 0)</f>
        <v>0</v>
      </c>
      <c r="F120" s="19" cm="1">
        <f t="array" ref="F120">Common_InputFunctions.Utility_DisplayArrayInTable(SourceData_Dairy.SourceData_Dairy_FractionVolatileSolidsVoidedMMS_Data(), Table_SourceData_Dairy_ProductionSystemTemplates[[#Headers],[Area]], 0)</f>
        <v>0.11</v>
      </c>
      <c r="G120" s="1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2" t="str" cm="1">
        <f t="array" ref="D123">SourceData_Dairy.SourceData_Dairy_EFNitrousOxidePerMMS_Title()</f>
        <v>Table A.1.3.11: Dairy cattle - EF for nitrous oxide per MMS (kg N2O-N/kg N) (EFm)</v>
      </c>
      <c r="M123" s="1"/>
    </row>
    <row r="124" spans="4:22" ht="20.100000000000001" customHeight="1" x14ac:dyDescent="0.25">
      <c r="D124" s="17"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9" t="str" cm="1">
        <f t="array" ref="D126">SourceData_Dairy.SourceData_Dairy_EFNitrousOxidePerMMS_Unit()</f>
        <v>kg N2O-N/kg N</v>
      </c>
      <c r="M126" s="1"/>
      <c r="V126" s="1"/>
    </row>
    <row r="127" spans="4:22" ht="20.100000000000001" customHeight="1" x14ac:dyDescent="0.25">
      <c r="D127" s="25" t="str" cm="1">
        <f t="array" ref="D127">SourceData_Dairy.SourceData_Dairy_EFNitrousOxidePerMMS_Variation()</f>
        <v>VARIATION OF SOURCE: Added 'NIR reference' column to aid lookup</v>
      </c>
      <c r="M127" s="1"/>
      <c r="V127" s="1"/>
    </row>
    <row r="128" spans="4:22" ht="20.100000000000001" customHeight="1" x14ac:dyDescent="0.25">
      <c r="D128" s="19" t="s">
        <v>595</v>
      </c>
      <c r="E128" s="19" t="s">
        <v>605</v>
      </c>
      <c r="F128" s="19" t="s">
        <v>604</v>
      </c>
      <c r="G128" s="143" t="s">
        <v>611</v>
      </c>
      <c r="M128" s="1"/>
      <c r="N128" s="8"/>
      <c r="V128" s="1"/>
    </row>
    <row r="129" spans="4:22" ht="20.100000000000001" customHeight="1" x14ac:dyDescent="0.25">
      <c r="D129" s="19" t="str" cm="1">
        <f t="array" ref="D129">Common_InputFunctions.Utility_DisplayArrayInTable(SourceData_Dairy.SourceData_Dairy_EFNitrousOxidePerMMS_Data(), Table_SourceData_Dairy_EFm[[#Headers],[MMS m]], 0)</f>
        <v>m=14 Pasture</v>
      </c>
      <c r="E129" s="19" cm="1">
        <f t="array" ref="E129">Common_InputFunctions.Utility_DisplayArrayInTable(SourceData_Dairy.SourceData_Dairy_EFNitrousOxidePerMMS_Data(), Table_SourceData_Dairy_EFm[[#Headers],[MMS m]], 0)</f>
        <v>0</v>
      </c>
      <c r="F129" s="19" t="str" cm="1">
        <f t="array" ref="F129">Common_InputFunctions.Utility_DisplayArrayInTable(SourceData_Dairy.SourceData_Dairy_EFNitrousOxidePerMMS_Data(), Table_SourceData_Dairy_EFm[[#Headers],[MMS m]], 0)</f>
        <v>Pasture range and paddock</v>
      </c>
      <c r="M129" s="1"/>
      <c r="N129" s="8"/>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19" cm="1">
        <f t="array" ref="E130">Common_InputFunctions.Utility_DisplayArrayInTable(SourceData_Dairy.SourceData_Dairy_EFNitrousOxidePerMMS_Data(), Table_SourceData_Dairy_EFm[[#Headers],[MMS m]], 0)</f>
        <v>0</v>
      </c>
      <c r="F130" s="19" t="str" cm="1">
        <f t="array" ref="F130">Common_InputFunctions.Utility_DisplayArrayInTable(SourceData_Dairy.SourceData_Dairy_EFNitrousOxidePerMMS_Data(), Table_SourceData_Dairy_EFm[[#Headers],[MMS m]], 0)</f>
        <v>Anaerobic lagoon</v>
      </c>
      <c r="M130" s="1"/>
      <c r="N130" s="8"/>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19" cm="1">
        <f t="array" ref="E131">Common_InputFunctions.Utility_DisplayArrayInTable(SourceData_Dairy.SourceData_Dairy_EFNitrousOxidePerMMS_Data(), Table_SourceData_Dairy_EFm[[#Headers],[MMS m]], 0)</f>
        <v>0</v>
      </c>
      <c r="F131" s="19" t="str" cm="1">
        <f t="array" ref="F131">Common_InputFunctions.Utility_DisplayArrayInTable(SourceData_Dairy.SourceData_Dairy_EFNitrousOxidePerMMS_Data(), Table_SourceData_Dairy_EFm[[#Headers],[MMS m]], 0)</f>
        <v>Sump and dispersal system</v>
      </c>
      <c r="M131" s="1"/>
      <c r="N131" s="8"/>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19" cm="1">
        <f t="array" ref="E132">Common_InputFunctions.Utility_DisplayArrayInTable(SourceData_Dairy.SourceData_Dairy_EFNitrousOxidePerMMS_Data(), Table_SourceData_Dairy_EFm[[#Headers],[MMS m]], 0)</f>
        <v>0</v>
      </c>
      <c r="F132" s="19" t="str" cm="1">
        <f t="array" ref="F132">Common_InputFunctions.Utility_DisplayArrayInTable(SourceData_Dairy.SourceData_Dairy_EFNitrousOxidePerMMS_Data(), Table_SourceData_Dairy_EFm[[#Headers],[MMS m]], 0)</f>
        <v>Drains to paddock</v>
      </c>
      <c r="M132" s="8"/>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19" cm="1">
        <f t="array" ref="E133">Common_InputFunctions.Utility_DisplayArrayInTable(SourceData_Dairy.SourceData_Dairy_EFNitrousOxidePerMMS_Data(), Table_SourceData_Dairy_EFm[[#Headers],[MMS m]], 0)</f>
        <v>5.0000000000000001E-3</v>
      </c>
      <c r="F133" s="19" t="str" cm="1">
        <f t="array" ref="F133">Common_InputFunctions.Utility_DisplayArrayInTable(SourceData_Dairy.SourceData_Dairy_EFNitrousOxidePerMMS_Data(), Table_SourceData_Dairy_EFm[[#Headers],[MMS m]], 0)</f>
        <v>Solid storage</v>
      </c>
      <c r="M133" s="8"/>
    </row>
    <row r="134" spans="4:22" ht="20.100000000000001" customHeight="1" x14ac:dyDescent="0.25">
      <c r="M134" s="8"/>
    </row>
    <row r="135" spans="4:22" ht="20.100000000000001" customHeight="1" x14ac:dyDescent="0.25">
      <c r="M135" s="8"/>
    </row>
    <row r="136" spans="4:22" ht="20.100000000000001" customHeight="1" x14ac:dyDescent="0.25">
      <c r="D136" s="2" t="str" cm="1">
        <f t="array" ref="D136">SourceData_Dairy.SourceData_Dairy_DurationOfStay_Title()</f>
        <v>Duration of stay for each dairy cattle input class</v>
      </c>
      <c r="M136" s="8"/>
    </row>
    <row r="137" spans="4:22" ht="20.100000000000001" customHeight="1" x14ac:dyDescent="0.25">
      <c r="D137" s="17" t="str" cm="1">
        <f t="array" ref="D137">SourceData_Dairy.SourceData_Dairy_DurationOfStay_Source()</f>
        <v>VEERG 2026: 4.3.2.2	DATA (METHOD 1 AND 2 OPTIONS)</v>
      </c>
      <c r="M137" s="8"/>
    </row>
    <row r="138" spans="4:22" ht="20.100000000000001" customHeight="1" x14ac:dyDescent="0.25">
      <c r="D138" s="1" t="str" cm="1">
        <f t="array" ref="D138">SourceData_Dairy.SourceData_Dairy_DurationOfStay_Variable()</f>
        <v>D</v>
      </c>
      <c r="M138" s="8"/>
    </row>
    <row r="139" spans="4:22" ht="20.100000000000001" customHeight="1" x14ac:dyDescent="0.25">
      <c r="D139" s="9" t="str" cm="1">
        <f t="array" ref="D139">SourceData_Dairy.SourceData_Dairy_DurationOfStay_Unit()</f>
        <v>days</v>
      </c>
      <c r="M139" s="8"/>
    </row>
    <row r="140" spans="4:22" ht="20.100000000000001" customHeight="1" x14ac:dyDescent="0.25">
      <c r="D140" s="25" t="str" cm="1">
        <f t="array" ref="D140">SourceData_Dairy.SourceData_Dairy_DurationOfStay_Variation()</f>
        <v>VARIATION OF SOURCE: Converted free text in document to table, matching livestock class names.</v>
      </c>
      <c r="M140" s="8"/>
    </row>
    <row r="141" spans="4:22" ht="20.100000000000001" customHeight="1" x14ac:dyDescent="0.25">
      <c r="D141" s="19" t="s">
        <v>591</v>
      </c>
      <c r="E141" s="19" t="s">
        <v>612</v>
      </c>
      <c r="F141" s="19" t="s">
        <v>613</v>
      </c>
      <c r="M141" s="8"/>
    </row>
    <row r="142" spans="4:22" ht="20.100000000000001" customHeight="1" x14ac:dyDescent="0.25">
      <c r="D142" s="19" t="str" cm="1">
        <f t="array" ref="D142">Common_InputFunctions.Utility_DisplayArrayInTable(SourceData_Dairy.SourceData_Dairy_DurationOfStay_Data(), Table_SourceData_Dairy_Duration[[#Headers],[Animal class j]], 0)</f>
        <v>Milking cows</v>
      </c>
      <c r="E142" s="19" cm="1">
        <f t="array" ref="E142">Common_InputFunctions.Utility_DisplayArrayInTable(SourceData_Dairy.SourceData_Dairy_DurationOfStay_Data(), Table_SourceData_Dairy_Duration[[#Headers],[Animal class j]], 0)</f>
        <v>365</v>
      </c>
      <c r="F142" s="19" cm="1">
        <f t="array" ref="F142">Common_InputFunctions.Utility_DisplayArrayInTable(SourceData_Dairy.SourceData_Dairy_DurationOfStay_Data(), Table_SourceData_Dairy_Duration[[#Headers],[Animal class j]], 0)</f>
        <v>0</v>
      </c>
      <c r="M142" s="8"/>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19" cm="1">
        <f t="array" ref="E143">Common_InputFunctions.Utility_DisplayArrayInTable(SourceData_Dairy.SourceData_Dairy_DurationOfStay_Data(), Table_SourceData_Dairy_Duration[[#Headers],[Animal class j]], 0)</f>
        <v>365</v>
      </c>
      <c r="F143" s="19" cm="1">
        <f t="array" ref="F143">Common_InputFunctions.Utility_DisplayArrayInTable(SourceData_Dairy.SourceData_Dairy_DurationOfStay_Data(), Table_SourceData_Dairy_Duration[[#Headers],[Animal class j]], 0)</f>
        <v>0</v>
      </c>
      <c r="M143" s="8"/>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19" cm="1">
        <f t="array" ref="E144">Common_InputFunctions.Utility_DisplayArrayInTable(SourceData_Dairy.SourceData_Dairy_DurationOfStay_Data(), Table_SourceData_Dairy_Duration[[#Headers],[Animal class j]], 0)</f>
        <v>281</v>
      </c>
      <c r="F144" s="19" cm="1">
        <f t="array" ref="F144">Common_InputFunctions.Utility_DisplayArrayInTable(SourceData_Dairy.SourceData_Dairy_DurationOfStay_Data(), Table_SourceData_Dairy_Duration[[#Headers],[Animal class j]], 0)</f>
        <v>84</v>
      </c>
      <c r="M144" s="8"/>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19" cm="1">
        <f t="array" ref="E145">Common_InputFunctions.Utility_DisplayArrayInTable(SourceData_Dairy.SourceData_Dairy_DurationOfStay_Data(), Table_SourceData_Dairy_Duration[[#Headers],[Animal class j]], 0)</f>
        <v>365</v>
      </c>
      <c r="F145" s="19" cm="1">
        <f t="array" ref="F145">Common_InputFunctions.Utility_DisplayArrayInTable(SourceData_Dairy.SourceData_Dairy_DurationOfStay_Data(), Table_SourceData_Dairy_Duration[[#Headers],[Animal class j]], 0)</f>
        <v>0</v>
      </c>
      <c r="M145" s="8"/>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19" cm="1">
        <f t="array" ref="E146">Common_InputFunctions.Utility_DisplayArrayInTable(SourceData_Dairy.SourceData_Dairy_DurationOfStay_Data(), Table_SourceData_Dairy_Duration[[#Headers],[Animal class j]], 0)</f>
        <v>281</v>
      </c>
      <c r="F146" s="19" cm="1">
        <f t="array" ref="F146">Common_InputFunctions.Utility_DisplayArrayInTable(SourceData_Dairy.SourceData_Dairy_DurationOfStay_Data(), Table_SourceData_Dairy_Duration[[#Headers],[Animal class j]], 0)</f>
        <v>84</v>
      </c>
      <c r="M146" s="8"/>
    </row>
    <row r="147" spans="4:13" ht="20.100000000000001" customHeight="1" x14ac:dyDescent="0.25">
      <c r="M147" s="8"/>
    </row>
    <row r="148" spans="4:13" ht="20.100000000000001" customHeight="1" x14ac:dyDescent="0.25">
      <c r="M148" s="8"/>
    </row>
    <row r="149" spans="4:13" ht="20.100000000000001" customHeight="1" x14ac:dyDescent="0.25">
      <c r="D149" s="2" t="str" cm="1">
        <f t="array" ref="D149">SourceData_Dairy.SourceData_Dairy_CrudeProtein_Title()</f>
        <v>Crude protein content of feed intake</v>
      </c>
      <c r="M149" s="8"/>
    </row>
    <row r="150" spans="4:13" ht="20.100000000000001" customHeight="1" x14ac:dyDescent="0.25">
      <c r="D150" s="17" t="str" cm="1">
        <f t="array" ref="D150">SourceData_Dairy.SourceData_Dairy_CrudeProtein_Source()</f>
        <v>VEERG 2026: 4.3.2.2	DATA (METHOD 1 AND 2 OPTIONS)</v>
      </c>
      <c r="M150" s="8"/>
    </row>
    <row r="151" spans="4:13" ht="20.100000000000001" customHeight="1" x14ac:dyDescent="0.25">
      <c r="D151" s="1" t="str" cm="1">
        <f t="array" ref="D151">SourceData_Dairy.SourceData_Dairy_CrudeProtein_Variable()</f>
        <v>CP</v>
      </c>
      <c r="M151" s="8"/>
    </row>
    <row r="152" spans="4:13" ht="20.100000000000001" customHeight="1" x14ac:dyDescent="0.25">
      <c r="D152" s="9" t="str" cm="1">
        <f t="array" ref="D152">SourceData_Dairy.SourceData_Dairy_CrudeProtein_Unit()</f>
        <v>fraction</v>
      </c>
      <c r="M152" s="8"/>
    </row>
    <row r="153" spans="4:13" ht="20.100000000000001" customHeight="1" x14ac:dyDescent="0.25">
      <c r="D153" s="76" cm="1">
        <f t="array" ref="D153">SourceData_Dairy.SourceData_Dairy_CrudeProtein_Data()</f>
        <v>0.2</v>
      </c>
      <c r="M153" s="8"/>
    </row>
    <row r="154" spans="4:13" ht="20.100000000000001" customHeight="1" x14ac:dyDescent="0.25">
      <c r="M154" s="8"/>
    </row>
    <row r="155" spans="4:13" ht="20.100000000000001" customHeight="1" x14ac:dyDescent="0.25">
      <c r="M155" s="8"/>
    </row>
    <row r="156" spans="4:13" ht="20.100000000000001" customHeight="1" x14ac:dyDescent="0.25">
      <c r="D156" s="2" t="str" cm="1">
        <f t="array" ref="D156">SourceData_Dairy.SourceData_Dairy_DryMatterDigestibility_Title()</f>
        <v>Dry matter digestibility</v>
      </c>
      <c r="M156" s="8"/>
    </row>
    <row r="157" spans="4:13" ht="20.100000000000001" customHeight="1" x14ac:dyDescent="0.25">
      <c r="D157" s="17" t="str" cm="1">
        <f t="array" ref="D157">SourceData_Dairy.SourceData_Dairy_DryMatterDigestibility_Source()</f>
        <v>VEERG 2026: 3.3.2.2	DATA (METHOD 1 AND 2 OPTIONS)</v>
      </c>
      <c r="M157" s="8"/>
    </row>
    <row r="158" spans="4:13" ht="20.100000000000001" customHeight="1" x14ac:dyDescent="0.25">
      <c r="D158" s="1" t="str" cm="1">
        <f t="array" ref="D158">SourceData_Dairy.SourceData_Dairy_DryMatterDigestibility_Variable()</f>
        <v>DMD</v>
      </c>
      <c r="M158" s="8"/>
    </row>
    <row r="159" spans="4:13" ht="20.100000000000001" customHeight="1" x14ac:dyDescent="0.25">
      <c r="D159" s="9" t="str" cm="1">
        <f t="array" ref="D159">SourceData_Dairy.SourceData_Dairy_DryMatterDigestibility_Unit()</f>
        <v>fraction</v>
      </c>
      <c r="M159" s="8"/>
    </row>
    <row r="160" spans="4:13" ht="20.100000000000001" customHeight="1" x14ac:dyDescent="0.25">
      <c r="D160" s="76" cm="1">
        <f t="array" ref="D160">SourceData_Dairy.SourceData_Dairy_DryMatterDigestibility_Data()</f>
        <v>0.75</v>
      </c>
      <c r="M160" s="8"/>
    </row>
    <row r="161" spans="1:13" ht="20.100000000000001" customHeight="1" x14ac:dyDescent="0.25">
      <c r="M161" s="8"/>
    </row>
    <row r="162" spans="1:13" ht="20.100000000000001" customHeight="1" x14ac:dyDescent="0.25">
      <c r="M162" s="8"/>
    </row>
    <row r="163" spans="1:13" ht="20.100000000000001" customHeight="1" x14ac:dyDescent="0.25">
      <c r="D163" s="2" t="str" cm="1">
        <f t="array" ref="D163">SourceData_Dairy.SourceData_Dairy_NetEnergy_Title()</f>
        <v>Net energy required for milk production</v>
      </c>
      <c r="M163" s="8"/>
    </row>
    <row r="164" spans="1:13" ht="20.100000000000001" customHeight="1" x14ac:dyDescent="0.25">
      <c r="D164" s="17" t="str" cm="1">
        <f t="array" ref="D164">SourceData_Dairy.SourceData_Dairy_NetEnergy_Source()</f>
        <v>VEERG 2026: 3.3.2.3 CONSTANTS</v>
      </c>
      <c r="M164" s="8"/>
    </row>
    <row r="165" spans="1:13" ht="20.100000000000001" customHeight="1" x14ac:dyDescent="0.25">
      <c r="D165" s="1" t="str" cm="1">
        <f t="array" ref="D165">SourceData_Dairy.SourceData_Dairy_NetEnergy_Variable()</f>
        <v>NE</v>
      </c>
      <c r="M165" s="8"/>
    </row>
    <row r="166" spans="1:13" x14ac:dyDescent="0.25">
      <c r="D166" s="9" t="str" cm="1">
        <f t="array" ref="D166">SourceData_Dairy.SourceData_Dairy_NetEnergy_Unit()</f>
        <v>MJ net energy / kg milk</v>
      </c>
      <c r="M166" s="8"/>
    </row>
    <row r="167" spans="1:13" x14ac:dyDescent="0.25">
      <c r="D167" s="76" cm="1">
        <f t="array" ref="D167">SourceData_Dairy.SourceData_Dairy_NetEnergy_Data()</f>
        <v>3.0539999999999998</v>
      </c>
      <c r="M167" s="8"/>
    </row>
    <row r="168" spans="1:13" x14ac:dyDescent="0.25">
      <c r="M168" s="8"/>
    </row>
    <row r="169" spans="1:13" x14ac:dyDescent="0.25">
      <c r="M169" s="8"/>
    </row>
    <row r="170" spans="1:13" ht="23.25" x14ac:dyDescent="0.25">
      <c r="D170" s="2" t="str" cm="1">
        <f t="array" ref="D170">SourceData_Dairy.SourceData_Dairy_GrossEnergyContent_Title()</f>
        <v>Gross energy content of feed dry matter</v>
      </c>
      <c r="M170" s="8"/>
    </row>
    <row r="171" spans="1:13" x14ac:dyDescent="0.25">
      <c r="D171" s="17" t="str" cm="1">
        <f t="array" ref="D171">SourceData_Dairy.SourceData_Dairy_GrossEnergyContent_Source()</f>
        <v>VEERG 2026: 3.3.2.3 CONSTANTS</v>
      </c>
      <c r="M171" s="8"/>
    </row>
    <row r="172" spans="1:13" x14ac:dyDescent="0.25">
      <c r="D172" s="1" t="str" cm="1">
        <f t="array" ref="D172">SourceData_Dairy.SourceData_Dairy_GrossEnergyContent_Variable()</f>
        <v>GEC</v>
      </c>
      <c r="M172" s="8"/>
    </row>
    <row r="173" spans="1:13" x14ac:dyDescent="0.25">
      <c r="D173" s="9" t="str" cm="1">
        <f t="array" ref="D173">SourceData_Dairy.SourceData_Dairy_GrossEnergyContent_Unit()</f>
        <v>MJ / kgDM</v>
      </c>
      <c r="M173" s="8"/>
    </row>
    <row r="174" spans="1:13" x14ac:dyDescent="0.25">
      <c r="A174" s="128" t="str">
        <f>HYPERLINK("#A1", "▲ Back to top")</f>
        <v>▲ Back to top</v>
      </c>
      <c r="D174" s="76" cm="1">
        <f t="array" ref="D174">SourceData_Dairy.SourceData_Dairy_GrossEnergyContent_Data()</f>
        <v>18.399999999999999</v>
      </c>
      <c r="M174" s="8"/>
    </row>
    <row r="175" spans="1:13" x14ac:dyDescent="0.25">
      <c r="M175" s="8"/>
    </row>
    <row r="176" spans="1:13" x14ac:dyDescent="0.25">
      <c r="M176" s="8"/>
    </row>
    <row r="177" spans="4:13" ht="23.25" x14ac:dyDescent="0.25">
      <c r="D177" s="2" t="str" cm="1">
        <f t="array" ref="D177">SourceData_Dairy.SourceData_Dairy_EfficiencyOfUseOfMetabolizableEnergy_Title()</f>
        <v>Efficiency of use of metabolizable energy for milk production</v>
      </c>
      <c r="M177" s="8"/>
    </row>
    <row r="178" spans="4:13" x14ac:dyDescent="0.25">
      <c r="D178" s="17" t="str" cm="1">
        <f t="array" ref="D178">SourceData_Dairy.SourceData_Dairy_EfficiencyOfUseOfMetabolizableEnergy_Source()</f>
        <v>VEERG 2026: 3.3.2.3 CONSTANTS</v>
      </c>
      <c r="M178" s="8"/>
    </row>
    <row r="179" spans="4:13" x14ac:dyDescent="0.25">
      <c r="D179" s="1" t="str" cm="1">
        <f t="array" ref="D179">SourceData_Dairy.SourceData_Dairy_EfficiencyOfUseOfMetabolizableEnergy_Variable()</f>
        <v>k</v>
      </c>
      <c r="M179" s="8"/>
    </row>
    <row r="180" spans="4:13" x14ac:dyDescent="0.25">
      <c r="D180" s="9" t="str" cm="1">
        <f t="array" ref="D180">SourceData_Dairy.SourceData_Dairy_EfficiencyOfUseOfMetabolizableEnergy_Unit()</f>
        <v>fraction</v>
      </c>
      <c r="M180" s="8"/>
    </row>
    <row r="181" spans="4:13" x14ac:dyDescent="0.25">
      <c r="D181" s="76" cm="1">
        <f t="array" ref="D181">SourceData_Dairy.SourceData_Dairy_EfficiencyOfUseOfMetabolizableEnergy_Data()</f>
        <v>0.6</v>
      </c>
      <c r="M181" s="8"/>
    </row>
    <row r="182" spans="4:13" x14ac:dyDescent="0.25">
      <c r="M182" s="8"/>
    </row>
    <row r="183" spans="4:13" x14ac:dyDescent="0.25">
      <c r="M183" s="8"/>
    </row>
    <row r="184" spans="4:13" ht="23.25" x14ac:dyDescent="0.25">
      <c r="D184" s="2" t="str" cm="1">
        <f t="array" ref="D184">SourceData_Dairy.SourceData_Dairy_AshContent_Title()</f>
        <v>Ash content of manure</v>
      </c>
      <c r="M184" s="8"/>
    </row>
    <row r="185" spans="4:13" x14ac:dyDescent="0.25">
      <c r="D185" s="17" t="str" cm="1">
        <f t="array" ref="D185">SourceData_Dairy.SourceData_Dairy_AshContent_Source()</f>
        <v>VEERG 2026: 4.3.2.3 CONSTANTS</v>
      </c>
      <c r="M185" s="8"/>
    </row>
    <row r="186" spans="4:13" x14ac:dyDescent="0.25">
      <c r="D186" s="1" t="str" cm="1">
        <f t="array" ref="D186">SourceData_Dairy.SourceData_Dairy_AshContent_Variable()</f>
        <v>A</v>
      </c>
      <c r="M186" s="8"/>
    </row>
    <row r="187" spans="4:13" x14ac:dyDescent="0.25">
      <c r="D187" s="9" t="str" cm="1">
        <f t="array" ref="D187">SourceData_Dairy.SourceData_Dairy_AshContent_Unit()</f>
        <v>fraction</v>
      </c>
      <c r="M187" s="8"/>
    </row>
    <row r="188" spans="4:13" x14ac:dyDescent="0.25">
      <c r="D188" s="76" cm="1">
        <f t="array" ref="D188">SourceData_Dairy.SourceData_Dairy_AshContent_Data()</f>
        <v>0.08</v>
      </c>
      <c r="M188" s="8"/>
    </row>
    <row r="189" spans="4:13" x14ac:dyDescent="0.25">
      <c r="M189" s="8"/>
    </row>
    <row r="190" spans="4:13" x14ac:dyDescent="0.25">
      <c r="M190" s="8"/>
    </row>
    <row r="191" spans="4:13" ht="23.25" x14ac:dyDescent="0.25">
      <c r="D191" s="2" t="str" cm="1">
        <f t="array" ref="D191">SourceData_Dairy.SourceData_Dairy_MethaneEmissionsPotential_Title()</f>
        <v>Methane emissions potential</v>
      </c>
      <c r="M191" s="8"/>
    </row>
    <row r="192" spans="4:13" x14ac:dyDescent="0.25">
      <c r="D192" s="17" t="str" cm="1">
        <f t="array" ref="D192">SourceData_Dairy.SourceData_Dairy_MethaneEmissionsPotential_Source()</f>
        <v>VEERG 2026: 4.3.2.3 CONSTANTS</v>
      </c>
      <c r="M192" s="8"/>
    </row>
    <row r="193" spans="4:13" x14ac:dyDescent="0.25">
      <c r="D193" s="1" t="str" cm="1">
        <f t="array" ref="D193">SourceData_Dairy.SourceData_Dairy_MethaneEmissionsPotential_Variable()</f>
        <v>B_o</v>
      </c>
      <c r="M193" s="8"/>
    </row>
    <row r="194" spans="4:13" x14ac:dyDescent="0.25">
      <c r="D194" s="9" t="str" cm="1">
        <f t="array" ref="D194">SourceData_Dairy.SourceData_Dairy_MethaneEmissionsPotential_Unit()</f>
        <v>m3 CH4/kgVS</v>
      </c>
      <c r="M194" s="8"/>
    </row>
    <row r="195" spans="4:13" x14ac:dyDescent="0.25">
      <c r="D195" s="76" cm="1">
        <f t="array" ref="D195">SourceData_Dairy.SourceData_Dairy_MethaneEmissionsPotential_Data()</f>
        <v>0.24</v>
      </c>
      <c r="M195" s="8"/>
    </row>
    <row r="196" spans="4:13" x14ac:dyDescent="0.25">
      <c r="M196" s="8"/>
    </row>
    <row r="197" spans="4:13" x14ac:dyDescent="0.25">
      <c r="M197" s="8"/>
    </row>
    <row r="198" spans="4:13" ht="23.25" x14ac:dyDescent="0.25">
      <c r="D198" s="2" t="str" cm="1">
        <f t="array" ref="D198">SourceData_Dairy.SourceData_Dairy_EmissionFactorForLeachingAndRunoff_Title()</f>
        <v>Emission factor for leaching and runoff</v>
      </c>
      <c r="M198" s="8"/>
    </row>
    <row r="199" spans="4:13" x14ac:dyDescent="0.25">
      <c r="D199" s="17" t="str" cm="1">
        <f t="array" ref="D199">SourceData_Dairy.SourceData_Dairy_EmissionFactorForLeachingAndRunoff_Source()</f>
        <v>VEERG 2026: 4.3.2.3 CONSTANTS</v>
      </c>
      <c r="M199" s="8"/>
    </row>
    <row r="200" spans="4:13" x14ac:dyDescent="0.25">
      <c r="D200" s="1" t="str" cm="1">
        <f t="array" ref="D200">SourceData_Dairy.SourceData_Dairy_EmissionFactorForLeachingAndRunoff_Variable()</f>
        <v>EF_leach</v>
      </c>
      <c r="M200" s="8"/>
    </row>
    <row r="201" spans="4:13" x14ac:dyDescent="0.25">
      <c r="D201" s="9" t="str" cm="1">
        <f t="array" ref="D201">SourceData_Dairy.SourceData_Dairy_EmissionFactorForLeachingAndRunoff_Unit()</f>
        <v>kg N2O-N/kg N</v>
      </c>
      <c r="M201" s="8"/>
    </row>
    <row r="202" spans="4:13" x14ac:dyDescent="0.25">
      <c r="D202" s="76" cm="1">
        <f t="array" ref="D202">SourceData_Dairy.SourceData_Dairy_EmissionFactorForLeachingAndRunoff_Data()</f>
        <v>1.0999999999999999E-2</v>
      </c>
      <c r="M202" s="8"/>
    </row>
    <row r="203" spans="4:13" x14ac:dyDescent="0.25">
      <c r="M203" s="8"/>
    </row>
    <row r="204" spans="4:13" x14ac:dyDescent="0.25">
      <c r="M204" s="8"/>
    </row>
    <row r="205" spans="4:13" ht="23.25" x14ac:dyDescent="0.25">
      <c r="D205" s="2" t="str" cm="1">
        <f t="array" ref="D205">SourceData_Dairy.SourceData_Dairy_FractionOfNitrogenLostThroughLeachingAndRunoff_Title()</f>
        <v>Default fraction of N that is lost through leaching and runoff when manure is excreted to pasture, range and paddock (m=14).</v>
      </c>
      <c r="M205" s="8"/>
    </row>
    <row r="206" spans="4:13" x14ac:dyDescent="0.25">
      <c r="D206" s="17" t="str" cm="1">
        <f t="array" ref="D206">SourceData_Dairy.SourceData_Dairy_FractionOfNitrogenLostThroughLeachingAndRunoff_Source()</f>
        <v>VEERG 2026: 4.3.2.3 CONSTANTS</v>
      </c>
      <c r="M206" s="8"/>
    </row>
    <row r="207" spans="4:13" x14ac:dyDescent="0.25">
      <c r="D207" s="1" t="str" cm="1">
        <f t="array" ref="D207">SourceData_Dairy.SourceData_Dairy_FractionOfNitrogenLostThroughLeachingAndRunoff_Variable()</f>
        <v>Frac_LEACH_MS</v>
      </c>
      <c r="M207" s="8"/>
    </row>
    <row r="208" spans="4:13" x14ac:dyDescent="0.25">
      <c r="D208" s="9" t="str" cm="1">
        <f t="array" ref="D208">SourceData_Dairy.SourceData_Dairy_FractionOfNitrogenLostThroughLeachingAndRunoff_Unit()</f>
        <v>Fraction</v>
      </c>
      <c r="M208" s="8"/>
    </row>
    <row r="209" spans="1:13" x14ac:dyDescent="0.25">
      <c r="D209" s="76" cm="1">
        <f t="array" ref="D209">SourceData_Dairy.SourceData_Dairy_FractionOfNitrogenLostThroughLeachingAndRunoff_Data()</f>
        <v>0.24</v>
      </c>
      <c r="M209" s="8"/>
    </row>
    <row r="210" spans="1:13" x14ac:dyDescent="0.25">
      <c r="M210" s="8"/>
    </row>
    <row r="211" spans="1:13" ht="23.25" x14ac:dyDescent="0.25">
      <c r="D211" s="2" t="str" cm="1">
        <f t="array" ref="D211">SourceData_Dairy.SourceData_Dairy_FractionOfNitrogenLostThroughLeachingAndRunoffSolidStorage_Title()</f>
        <v>Fraction of nitrogen lost through leaching and runoff for solid storage MMS only</v>
      </c>
      <c r="M211" s="8"/>
    </row>
    <row r="212" spans="1:13" x14ac:dyDescent="0.25">
      <c r="D212" s="17" t="str" cm="1">
        <f t="array" ref="D212">SourceData_Dairy.SourceData_Dairy_FractionOfNitrogenLostThroughLeachingAndRunoffSolidStorage_Source()</f>
        <v>VEERG 2026: 4.3.2.3 CONSTANTS</v>
      </c>
      <c r="M212" s="8"/>
    </row>
    <row r="213" spans="1:13" x14ac:dyDescent="0.25">
      <c r="D213" s="1" t="str" cm="1">
        <f t="array" ref="D213">SourceData_Dairy.SourceData_Dairy_FractionOfNitrogenLostThroughLeachingAndRunoffSolidStorage_Variable()</f>
        <v>Frac_LEACH_MS</v>
      </c>
      <c r="M213" s="8"/>
    </row>
    <row r="214" spans="1:13" x14ac:dyDescent="0.25">
      <c r="D214" s="9" t="str" cm="1">
        <f t="array" ref="D214">SourceData_Dairy.SourceData_Dairy_FractionOfNitrogenLostThroughLeachingAndRunoffSolidStorage_Unit()</f>
        <v>Fraction</v>
      </c>
      <c r="M214" s="8"/>
    </row>
    <row r="215" spans="1:13" x14ac:dyDescent="0.25">
      <c r="A215" s="128" t="str">
        <f>HYPERLINK("#A1", "▲ Back to top")</f>
        <v>▲ Back to top</v>
      </c>
      <c r="D215" s="76" cm="1">
        <f t="array" ref="D215">SourceData_Dairy.SourceData_Dairy_FractionOfNitrogenLostThroughLeachingAndRunoffSolidStorage_Data()</f>
        <v>0.02</v>
      </c>
      <c r="M215" s="8"/>
    </row>
    <row r="216" spans="1:13" x14ac:dyDescent="0.25">
      <c r="M216" s="8"/>
    </row>
    <row r="217" spans="1:13" ht="23.25" x14ac:dyDescent="0.25">
      <c r="D217" s="2" t="str" cm="1">
        <f t="array" ref="D217">SourceData_Dairy.SourceData_Dairy_FracGASMSoil_Title()</f>
        <v>Fraction of nitrogen volatilized from urine and faeces deposited on pasture</v>
      </c>
      <c r="M217" s="8"/>
    </row>
    <row r="218" spans="1:13" x14ac:dyDescent="0.25">
      <c r="D218" s="17" t="str" cm="1">
        <f t="array" ref="D218">SourceData_Dairy.SourceData_Dairy_FracGASMSoil_Source()</f>
        <v>VEERG 2026: 4.3.2.3 CONSTANTS</v>
      </c>
      <c r="M218" s="8"/>
    </row>
    <row r="219" spans="1:13" x14ac:dyDescent="0.25">
      <c r="D219" s="1" t="str" cm="1">
        <f t="array" ref="D219">SourceData_Dairy.SourceData_Dairy_FracGASMSoil_Variable()</f>
        <v>FracGASMsoil</v>
      </c>
      <c r="M219" s="8"/>
    </row>
    <row r="220" spans="1:13" x14ac:dyDescent="0.25">
      <c r="D220" s="9" t="str" cm="1">
        <f t="array" ref="D220">SourceData_Dairy.SourceData_Dairy_FracGASMSoil_Unit()</f>
        <v>(kg NH3-N + NOx-N)/kg N</v>
      </c>
      <c r="M220" s="8"/>
    </row>
    <row r="221" spans="1:13" x14ac:dyDescent="0.25">
      <c r="D221" s="76" cm="1">
        <f t="array" ref="D221">SourceData_Dairy.SourceData_Dairy_FracGASMSoil_Data()</f>
        <v>0.21</v>
      </c>
      <c r="M221" s="8"/>
    </row>
    <row r="222" spans="1:13" x14ac:dyDescent="0.25">
      <c r="M222" s="8"/>
    </row>
    <row r="223" spans="1:13" ht="23.25" x14ac:dyDescent="0.25">
      <c r="D223" s="2" t="str" cm="1">
        <f t="array" ref="D223">SourceData_Dairy.SourceData_Dairy_FatContentInMilk_Title()</f>
        <v>Fat content in fat and protein corrected milk</v>
      </c>
      <c r="M223" s="8"/>
    </row>
    <row r="224" spans="1:13" x14ac:dyDescent="0.25">
      <c r="D224" s="17" t="str" cm="1">
        <f t="array" ref="D224">SourceData_Dairy.SourceData_Dairy_FatContentInMilk_Source()</f>
        <v>VEERG 2026: 3.3.2.2 DATA (METHOD 1 AND 2 OPTIONS)</v>
      </c>
      <c r="M224" s="8"/>
    </row>
    <row r="225" spans="4:13" x14ac:dyDescent="0.25">
      <c r="D225" s="1" t="str" cm="1">
        <f t="array" ref="D225">SourceData_Dairy.SourceData_Dairy_FatContentInMilk_Variable()</f>
        <v>FC_j</v>
      </c>
      <c r="M225" s="8"/>
    </row>
    <row r="226" spans="4:13" x14ac:dyDescent="0.25">
      <c r="D226" s="9" t="str" cm="1">
        <f t="array" ref="D226">SourceData_Dairy.SourceData_Dairy_FatContentInMilk_Unit()</f>
        <v>percent</v>
      </c>
      <c r="M226" s="8"/>
    </row>
    <row r="227" spans="4:13" x14ac:dyDescent="0.25">
      <c r="D227" s="76" cm="1">
        <f t="array" ref="D227">SourceData_Dairy.SourceData_Dairy_FatContentInMilk_Data()</f>
        <v>4</v>
      </c>
      <c r="M227" s="8"/>
    </row>
    <row r="228" spans="4:13" x14ac:dyDescent="0.25">
      <c r="M228" s="8"/>
    </row>
    <row r="229" spans="4:13" ht="23.25" x14ac:dyDescent="0.25">
      <c r="D229" s="2" t="str" cm="1">
        <f t="array" ref="D229">SourceData_Dairy.SourceData_Dairy_ProteinContentInMilk_Title()</f>
        <v>Protein content in fat and protein corrected milk</v>
      </c>
      <c r="M229" s="8"/>
    </row>
    <row r="230" spans="4:13" x14ac:dyDescent="0.25">
      <c r="D230" s="17" t="str" cm="1">
        <f t="array" ref="D230">SourceData_Dairy.SourceData_Dairy_ProteinContentInMilk_Source()</f>
        <v>VEERG 2026: 3.3.2.2 DATA (METHOD 1 AND 2 OPTIONS)</v>
      </c>
      <c r="M230" s="8"/>
    </row>
    <row r="231" spans="4:13" x14ac:dyDescent="0.25">
      <c r="D231" s="1" t="str" cm="1">
        <f t="array" ref="D231">SourceData_Dairy.SourceData_Dairy_ProteinContentInMilk_Variable()</f>
        <v>PC_j</v>
      </c>
      <c r="M231" s="8"/>
    </row>
    <row r="232" spans="4:13" x14ac:dyDescent="0.25">
      <c r="D232" s="9" t="str" cm="1">
        <f t="array" ref="D232">SourceData_Dairy.SourceData_Dairy_ProteinContentInMilk_Unit()</f>
        <v>percent</v>
      </c>
      <c r="M232" s="8"/>
    </row>
    <row r="233" spans="4:13" x14ac:dyDescent="0.25">
      <c r="D233" s="76" cm="1">
        <f t="array" ref="D233">SourceData_Dairy.SourceData_Dairy_ProteinContentInMilk_Data()</f>
        <v>3.3</v>
      </c>
      <c r="M233" s="8"/>
    </row>
    <row r="234" spans="4:13" x14ac:dyDescent="0.25">
      <c r="M234" s="8"/>
    </row>
    <row r="235" spans="4:13" x14ac:dyDescent="0.25">
      <c r="M235" s="8"/>
    </row>
    <row r="236" spans="4:13" x14ac:dyDescent="0.25">
      <c r="M236" s="8"/>
    </row>
    <row r="237" spans="4:13" x14ac:dyDescent="0.25">
      <c r="M237" s="8"/>
    </row>
    <row r="238" spans="4:13" x14ac:dyDescent="0.25">
      <c r="M238" s="8"/>
    </row>
    <row r="239" spans="4:13" x14ac:dyDescent="0.25">
      <c r="M239" s="8"/>
    </row>
    <row r="240" spans="4: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4921A-1558-4854-A302-CA2244A4EBD6}">
  <sheetPr>
    <tabColor theme="2" tint="-0.499984740745262"/>
  </sheetPr>
  <dimension ref="A1:AI23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0" customFormat="1" ht="30" customHeight="1" x14ac:dyDescent="0.35">
      <c r="A1" s="10" t="e" vm="1">
        <v>#VALUE!</v>
      </c>
      <c r="C1" s="20" t="s">
        <v>1063</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Agresidue_SourceData.CropPurposeAndYield_Title()</f>
        <v>Crop purpose and yield</v>
      </c>
    </row>
    <row r="6" spans="1:35" ht="20.100000000000001" customHeight="1" x14ac:dyDescent="0.25">
      <c r="A6" s="5" t="str">
        <f>HYPERLINK("#'Results'!A1", "Results")</f>
        <v>Results</v>
      </c>
    </row>
    <row r="7" spans="1:35" ht="20.100000000000001" customHeight="1" x14ac:dyDescent="0.25">
      <c r="D7" s="253" t="s">
        <v>1064</v>
      </c>
      <c r="E7" s="253" t="s">
        <v>1065</v>
      </c>
      <c r="F7" s="253" t="s">
        <v>1066</v>
      </c>
      <c r="G7" s="253" t="s">
        <v>1067</v>
      </c>
      <c r="H7" s="253" t="s">
        <v>1068</v>
      </c>
      <c r="I7" s="253" t="s">
        <v>1069</v>
      </c>
      <c r="J7" s="253" t="s">
        <v>1070</v>
      </c>
      <c r="K7" s="253" t="s">
        <v>1071</v>
      </c>
      <c r="AG7" s="1"/>
      <c r="AH7" s="1"/>
      <c r="AI7" s="1"/>
    </row>
    <row r="8" spans="1:35" ht="20.100000000000001" customHeight="1" x14ac:dyDescent="0.25">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7" t="s">
        <v>0</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Enterprise'!A1", "Enterprise")</f>
        <v>Enterprise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Site'!A1", "Site")</f>
        <v>Site</v>
      </c>
    </row>
    <row r="12" spans="1:35" ht="20.100000000000001" customHeight="1" x14ac:dyDescent="0.25">
      <c r="A12" s="5" t="str">
        <f>HYPERLINK("#'Input - Dairy'!A1", "Dairy")</f>
        <v>Dairy</v>
      </c>
    </row>
    <row r="13" spans="1:35" ht="20.100000000000001" customHeight="1" x14ac:dyDescent="0.25">
      <c r="A13" s="5" t="str">
        <f>HYPERLINK("#'Input - Livestock sales'!A1", "Livestock sales")</f>
        <v>Livestock sales</v>
      </c>
    </row>
    <row r="14" spans="1:35" ht="20.100000000000001" customHeight="1" x14ac:dyDescent="0.25">
      <c r="A14" s="5" t="str">
        <f>HYPERLINK("#'Input - Dairy cattle purchases'!A1", "Dairy cattle purchases")</f>
        <v>Dairy cattle purchases</v>
      </c>
    </row>
    <row r="15" spans="1:35" ht="20.100000000000001" customHeight="1" x14ac:dyDescent="0.25">
      <c r="A15" s="5" t="str">
        <f>HYPERLINK("#'Input - Pasture'!A1", "Pasture")</f>
        <v>Pasture</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Fert Prod System'!A1", "Fert Prod System")</f>
        <v>Fert Prod System</v>
      </c>
      <c r="D16" s="1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Fertiliser'!A1", "Fertiliser")</f>
        <v>Fertiliser</v>
      </c>
      <c r="D17" s="25"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Fuel'!A1", "Fuel")</f>
        <v>Fuel</v>
      </c>
      <c r="D18" s="8"/>
      <c r="E18" s="8"/>
      <c r="F18" s="8"/>
      <c r="G18" s="8"/>
      <c r="H18" s="8"/>
      <c r="I18" s="8"/>
      <c r="J18" s="8"/>
      <c r="K18" s="8"/>
      <c r="L18" s="8"/>
    </row>
    <row r="19" spans="1:14" ht="20.100000000000001" customHeight="1" x14ac:dyDescent="0.25">
      <c r="A19" s="5" t="str">
        <f>HYPERLINK("#'Input - Electricity'!A1", "Electricity")</f>
        <v>Electricity</v>
      </c>
      <c r="D19" t="s">
        <v>162</v>
      </c>
      <c r="E19" t="s">
        <v>1072</v>
      </c>
      <c r="F19" t="s">
        <v>1073</v>
      </c>
      <c r="G19" t="s">
        <v>1074</v>
      </c>
      <c r="H19" t="s">
        <v>1075</v>
      </c>
      <c r="I19" t="s">
        <v>1076</v>
      </c>
      <c r="J19" t="s">
        <v>1077</v>
      </c>
      <c r="K19" t="s">
        <v>1078</v>
      </c>
      <c r="L19" t="s">
        <v>1079</v>
      </c>
      <c r="N19" s="2" t="s">
        <v>578</v>
      </c>
    </row>
    <row r="20" spans="1:14" ht="20.100000000000001" customHeight="1" x14ac:dyDescent="0.25">
      <c r="A20" s="5" t="str">
        <f>HYPERLINK("#'Input - Common farm inputs'!A1", "Common farm inputs")</f>
        <v>Common farm inputs</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A21" s="5" t="str">
        <f>HYPERLINK("#'Input - Crop pasture farm input'!A1", "Crop pasture farm input")</f>
        <v>Crop pasture farm input</v>
      </c>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19" t="s">
        <v>63</v>
      </c>
    </row>
    <row r="22" spans="1:14" ht="20.100000000000001" customHeight="1" x14ac:dyDescent="0.25">
      <c r="A22" s="5" t="str">
        <f>HYPERLINK("#'Input - Livestock farm Inputs'!A1", "Livestock farm Inputs")</f>
        <v>Livestock farm Inputs</v>
      </c>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19" t="s">
        <v>583</v>
      </c>
    </row>
    <row r="23" spans="1:14" ht="20.100000000000001" customHeight="1" x14ac:dyDescent="0.25">
      <c r="A23" s="5" t="str">
        <f>HYPERLINK("#'Input - Freight'!A1", "Freight")</f>
        <v>Freight</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19" t="s">
        <v>584</v>
      </c>
    </row>
    <row r="24" spans="1:14" ht="20.100000000000001" customHeight="1" x14ac:dyDescent="0.25">
      <c r="A24" s="5" t="str">
        <f>HYPERLINK("#'Input - Solid waste'!A1", "Solid waste")</f>
        <v>Solid waste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341</v>
      </c>
    </row>
    <row r="25" spans="1:14" ht="20.100000000000001" customHeight="1" x14ac:dyDescent="0.25">
      <c r="A25" s="5" t="str">
        <f>HYPERLINK("#'Input - Manure sent off-site'!A1", "Manure sent off-site")</f>
        <v>Manure sent off-site</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585</v>
      </c>
    </row>
    <row r="26" spans="1:14" ht="20.100000000000001" customHeight="1" x14ac:dyDescent="0.25">
      <c r="A26" s="5" t="str">
        <f>HYPERLINK("#'Input - Data quality'!A1", "Data quality")</f>
        <v>Data quality</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586</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6" t="s">
        <v>2</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HYPERLINK("#'3.3.1.1-2 Enteric Methane'!A1", "3.3.1.1-2 Enteric methane")</f>
        <v>3.3.1.1-2 Enteric methane</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HYPERLINK("#'4.3.1.1-2 Methane'!A1", "4.3.1.1-2 Manure methane")</f>
        <v>4.3.1.1-2 Manure methane</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HYPERLINK("#'4.3.1.3-4 Direct N20'!A1", "4.3.1.3-4 Direct N20")</f>
        <v>4.3.1.3-4 Direct N20</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HYPERLINK("#'4.3.1.5 Atmos deposition'!A1", "4.3.1.5 Atmos deposition")</f>
        <v>4.3.1.5 Atmos deposition</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HYPERLINK("#'4.3.1.6-7 Leaching and runoff'!A1", "4.3.1.6-7 Leaching &amp; runoff")</f>
        <v>4.3.1.6-7 Leaching &amp; runoff</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HYPERLINK("#'4.3.1.8 Manure applied to soils'!A1", "4.3.1.8 Manure applied to soils")</f>
        <v>4.3.1.8 Manure applied to soils</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HYPERLINK("#'4.3.1.9 Soil direct N2O'!A1", "4.3.1.9 Soil direct N2O")</f>
        <v>4.3.1.9 Soil direct N2O</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HYPERLINK("#'4.3.1.10-11 Soil Atmos Dep'!A1", "4.3.1.10-11 Soil Atmos Deposition")</f>
        <v>4.3.1.10-11 Soil Atmos Deposition</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HYPERLINK("#'4.3.1.12-13 Soil leach runoff'!A1", "4.3.1.12-13 Soil leach &amp; runoff")</f>
        <v>4.3.1.12-13 Soil leach &amp; runoff</v>
      </c>
      <c r="D38" s="8"/>
      <c r="E38" s="8"/>
      <c r="F38" s="8"/>
      <c r="G38" s="8"/>
      <c r="H38" s="8"/>
      <c r="I38" s="8"/>
      <c r="J38" s="8"/>
      <c r="K38" s="8"/>
      <c r="L38" s="8"/>
    </row>
    <row r="39" spans="1:13" ht="20.100000000000001" customHeight="1" x14ac:dyDescent="0.25">
      <c r="A39" s="5" t="str">
        <f>HYPERLINK("#'5.1.1.1-2 Inorganic fert N2O'!A1", "5.1.1.1-2 Inorganic fert N2O")</f>
        <v>5.1.1.1-2 Inorganic fert N2O</v>
      </c>
      <c r="D39" s="8"/>
      <c r="E39" s="8"/>
      <c r="F39" s="8"/>
      <c r="G39" s="8"/>
      <c r="H39" s="8"/>
      <c r="I39" s="8"/>
      <c r="J39" s="8"/>
      <c r="K39" s="8"/>
      <c r="L39" s="8"/>
    </row>
    <row r="40" spans="1:13" ht="20.100000000000001" customHeight="1" x14ac:dyDescent="0.25">
      <c r="A40" s="5" t="str">
        <f>HYPERLINK("#'5.1.1.3-4 Inorganic fert CO2'!A1", "5.1.1.3-4 Inorganic fert CO2")</f>
        <v>5.1.1.3-4 Inorganic fert CO2</v>
      </c>
      <c r="D40" s="2" t="str" cm="1">
        <f t="array" ref="D40">Agresidue_SourceData.N2OEFOrganicFertiliser_Title()</f>
        <v>Emission factor for organic fertiliser and crop residues returned to the soil</v>
      </c>
      <c r="E40" s="24"/>
      <c r="F40" s="24"/>
      <c r="G40" s="8"/>
      <c r="H40" s="8"/>
      <c r="I40" s="8"/>
      <c r="J40" s="8"/>
      <c r="K40" s="8"/>
      <c r="L40" s="8"/>
    </row>
    <row r="41" spans="1:13" ht="20.100000000000001" customHeight="1" x14ac:dyDescent="0.25">
      <c r="A41" s="5" t="str">
        <f>HYPERLINK("#'5.2.1.1-2 Organic Fert N2O'!A1", "5.2.1.1-2 Organic fert N2O")</f>
        <v>5.2.1.1-2 Organic fert N2O</v>
      </c>
      <c r="D41" s="17" t="str" cm="1">
        <f t="array" ref="D41">Agresidue_SourceData.N2OEFOrganicFertiliser_Source()</f>
        <v>VEERG 2026: Table A.2.1.4</v>
      </c>
      <c r="E41" s="24"/>
      <c r="F41" s="24"/>
      <c r="G41" s="8"/>
      <c r="H41" s="8"/>
      <c r="I41" s="8"/>
      <c r="J41" s="8"/>
      <c r="K41" s="8"/>
      <c r="L41" s="8"/>
    </row>
    <row r="42" spans="1:13" ht="20.100000000000001" customHeight="1" x14ac:dyDescent="0.25">
      <c r="A42" s="5" t="str">
        <f>HYPERLINK("#'5.3.1.1-2 Lime CO2'!A1", "5.3.1.1-2 Lime CO2")</f>
        <v>5.3.1.1-2 Lime CO2</v>
      </c>
      <c r="D42" s="17"/>
      <c r="E42" s="24"/>
      <c r="F42" s="24"/>
      <c r="H42" s="8"/>
      <c r="I42" s="8"/>
      <c r="M42" s="24"/>
    </row>
    <row r="43" spans="1:13" ht="20.100000000000001" customHeight="1" x14ac:dyDescent="0.25">
      <c r="A43" s="5" t="str">
        <f>HYPERLINK("#'5.4.1.1-4 Atmos deposition'!A1", "5.4.1.1-4 Atmos. deposition")</f>
        <v>5.4.1.1-4 Atmos. deposition</v>
      </c>
      <c r="D43" s="192" t="s">
        <v>1080</v>
      </c>
      <c r="E43" s="192" t="s">
        <v>1081</v>
      </c>
      <c r="F43" s="24"/>
      <c r="H43" s="8"/>
      <c r="I43" s="8"/>
      <c r="M43" s="24"/>
    </row>
    <row r="44" spans="1:13" ht="20.100000000000001" customHeight="1" x14ac:dyDescent="0.25">
      <c r="A44" s="5" t="str">
        <f>HYPERLINK("#'5.5.1.1-2 Leaching and runoff'!A1", "5.5.1.1-2 Leaching &amp; runoff")</f>
        <v>5.5.1.1-2 Leaching &amp; runoff</v>
      </c>
      <c r="D44" s="26" t="str" cm="1">
        <f t="array" ref="D44">Common_InputFunctions.Utility_DisplayArrayInTable(Agresidue_SourceData.N2OEFOrganicFertiliser_Data(), Table_SourceData_N2OEFOrganicFert[[#Headers],[Climate zone type i]], 0)</f>
        <v>Wet climate zone</v>
      </c>
      <c r="E44" s="26" cm="1">
        <f t="array" ref="E44">Common_InputFunctions.Utility_DisplayArrayInTable(Agresidue_SourceData.N2OEFOrganicFertiliser_Data(), Table_SourceData_N2OEFOrganicFert[[#Headers],[Climate zone type i]], 0)</f>
        <v>6.0000000000000001E-3</v>
      </c>
      <c r="F44" s="24"/>
      <c r="H44" s="8"/>
      <c r="I44" s="8"/>
      <c r="M44" s="24"/>
    </row>
    <row r="45" spans="1:13" ht="20.100000000000001" customHeight="1" x14ac:dyDescent="0.25">
      <c r="A45" s="5" t="str">
        <f>HYPERLINK("#'6.2.1.1-2 Pasture residue N2O'!A1", "6.2.1.1-2 Pasture residue N2O")</f>
        <v>6.2.1.1-2 Pasture residue N2O</v>
      </c>
      <c r="D45" s="26" t="str" cm="1">
        <f t="array" ref="D45">Common_InputFunctions.Utility_DisplayArrayInTable(Agresidue_SourceData.N2OEFOrganicFertiliser_Data(), Table_SourceData_N2OEFOrganicFert[[#Headers],[Climate zone type i]], 0)</f>
        <v>Dry climate zone</v>
      </c>
      <c r="E45" s="26" cm="1">
        <f t="array" ref="E45">Common_InputFunctions.Utility_DisplayArrayInTable(Agresidue_SourceData.N2OEFOrganicFertiliser_Data(), Table_SourceData_N2OEFOrganicFert[[#Headers],[Climate zone type i]], 0)</f>
        <v>5.0000000000000001E-3</v>
      </c>
      <c r="F45" s="24"/>
      <c r="H45" s="8"/>
      <c r="I45" s="8"/>
      <c r="M45" s="24"/>
    </row>
    <row r="46" spans="1:13" ht="20.100000000000001" customHeight="1" x14ac:dyDescent="0.25">
      <c r="A46" s="5" t="str">
        <f>HYPERLINK("#'6.3.1.1-2 Leach runoff pasture'!A1", "6.3.1.1-2 Leach &amp; runoff (pasture)")</f>
        <v>6.3.1.1-2 Leach &amp; runoff (pasture)</v>
      </c>
      <c r="H46" s="8"/>
      <c r="I46" s="8"/>
      <c r="M46" s="24"/>
    </row>
    <row r="47" spans="1:13" ht="20.100000000000001" customHeight="1" x14ac:dyDescent="0.25">
      <c r="A47" s="5" t="str">
        <f>HYPERLINK("#'8.1.1.1-2 Transport fuel'!A1", "8.1.1.1-2 Transport fuel")</f>
        <v>8.1.1.1-2 Transport fuel</v>
      </c>
      <c r="M47" s="24"/>
    </row>
    <row r="48" spans="1:13" ht="20.100000000000001" customHeight="1" x14ac:dyDescent="0.25">
      <c r="A48" s="5" t="str">
        <f>HYPERLINK("#'8.2.1.1-2 Stationary fuel'!A1", "8.2.1.1-2 Stationary fuel")</f>
        <v>8.2.1.1-2 Stationary fuel</v>
      </c>
      <c r="D48" s="2" t="str" cm="1">
        <f t="array" ref="D48">Agresidue_SourceData.PastureAttributes_Title()</f>
        <v>Table A.2.1.3 Pasture attributes</v>
      </c>
      <c r="K48" s="8"/>
      <c r="L48" s="8"/>
    </row>
    <row r="49" spans="1:12" ht="20.100000000000001" customHeight="1" x14ac:dyDescent="0.25">
      <c r="A49" s="5" t="str">
        <f>HYPERLINK("#'10.1.1-2 Solid waste treatment'!A1", "10.1.1.1-2 Solid waste")</f>
        <v>10.1.1.1-2 Solid waste</v>
      </c>
      <c r="D49" s="17" t="str" cm="1">
        <f t="array" ref="D49">Agresidue_SourceData.PastureAttributes_Source()</f>
        <v>VEERG 2026: Table A.2.1.3: Pasture attributes</v>
      </c>
      <c r="K49" s="8"/>
      <c r="L49" s="8"/>
    </row>
    <row r="50" spans="1:12" ht="20.100000000000001" customHeight="1" x14ac:dyDescent="0.25">
      <c r="A50" s="5" t="str">
        <f>HYPERLINK("#'14.1.1-2 Purchased electricity'!A1", "14.1.1-2 Purchased electricity")</f>
        <v>14.1.1-2 Purchased electricity</v>
      </c>
      <c r="K50" s="8"/>
      <c r="L50" s="8"/>
    </row>
    <row r="51" spans="1:12" ht="20.100000000000001" customHeight="1" x14ac:dyDescent="0.25">
      <c r="A51" s="5" t="str">
        <f>HYPERLINK("#'15 Scope 3'!A1", "15 Scope 3")</f>
        <v>15 Scope 3</v>
      </c>
      <c r="D51" s="19" t="s">
        <v>1033</v>
      </c>
      <c r="E51" s="19" t="s">
        <v>1082</v>
      </c>
      <c r="F51" s="19" t="s">
        <v>1083</v>
      </c>
      <c r="G51" s="19" t="s">
        <v>1084</v>
      </c>
      <c r="H51" s="19" t="s">
        <v>1085</v>
      </c>
      <c r="I51" s="19" t="s">
        <v>1086</v>
      </c>
      <c r="K51" s="8"/>
      <c r="L51" s="8"/>
    </row>
    <row r="52" spans="1:12" ht="20.100000000000001" customHeight="1" x14ac:dyDescent="0.25">
      <c r="A52" s="5" t="str">
        <f>HYPERLINK("#'Calcs - Manure sent off-site'!A1", "Calcs - Manure sent off-site")</f>
        <v>Calcs - Manure sent off-site</v>
      </c>
      <c r="D52" s="19" t="str" cm="1">
        <f t="array" ref="D52">Common_InputFunctions.Utility_DisplayArrayInTable(Agresidue_SourceData.PastureAttributes_Data(), Table_SourceData_PastureAttributes[[#Headers],[Pasture type]], 0)</f>
        <v>Annual grass</v>
      </c>
      <c r="E52" s="19" cm="1">
        <f t="array" ref="E52">Common_InputFunctions.Utility_DisplayArrayInTable(Agresidue_SourceData.PastureAttributes_Data(), Table_SourceData_PastureAttributes[[#Headers],[Pasture type]], 0)</f>
        <v>4.41</v>
      </c>
      <c r="F52" s="19" cm="1">
        <f t="array" ref="F52">Common_InputFunctions.Utility_DisplayArrayInTable(Agresidue_SourceData.PastureAttributes_Data(), Table_SourceData_PastureAttributes[[#Headers],[Pasture type]], 0)</f>
        <v>0.4</v>
      </c>
      <c r="G52" s="19" cm="1">
        <f t="array" ref="G52">Common_InputFunctions.Utility_DisplayArrayInTable(Agresidue_SourceData.PastureAttributes_Data(), Table_SourceData_PastureAttributes[[#Headers],[Pasture type]], 0)</f>
        <v>1.4999999999999999E-2</v>
      </c>
      <c r="H52" s="19" cm="1">
        <f t="array" ref="H52">Common_InputFunctions.Utility_DisplayArrayInTable(Agresidue_SourceData.PastureAttributes_Data(), Table_SourceData_PastureAttributes[[#Headers],[Pasture type]], 0)</f>
        <v>1.2E-2</v>
      </c>
      <c r="I52" s="19" cm="1">
        <f t="array" ref="I52">Common_InputFunctions.Utility_DisplayArrayInTable(Agresidue_SourceData.PastureAttributes_Data(), Table_SourceData_PastureAttributes[[#Headers],[Pasture type]], 0)</f>
        <v>0.8</v>
      </c>
      <c r="L52" s="8"/>
    </row>
    <row r="53" spans="1:12" ht="20.100000000000001" customHeight="1" x14ac:dyDescent="0.25">
      <c r="D53" s="19" t="str" cm="1">
        <f t="array" ref="D53">Common_InputFunctions.Utility_DisplayArrayInTable(Agresidue_SourceData.PastureAttributes_Data(), Table_SourceData_PastureAttributes[[#Headers],[Pasture type]], 0)</f>
        <v>Grass clover mixture</v>
      </c>
      <c r="E53" s="19" cm="1">
        <f t="array" ref="E53">Common_InputFunctions.Utility_DisplayArrayInTable(Agresidue_SourceData.PastureAttributes_Data(), Table_SourceData_PastureAttributes[[#Headers],[Pasture type]], 0)</f>
        <v>8.34</v>
      </c>
      <c r="F53" s="19" cm="1">
        <f t="array" ref="F53">Common_InputFunctions.Utility_DisplayArrayInTable(Agresidue_SourceData.PastureAttributes_Data(), Table_SourceData_PastureAttributes[[#Headers],[Pasture type]], 0)</f>
        <v>0.8</v>
      </c>
      <c r="G53" s="19" cm="1">
        <f t="array" ref="G53">Common_InputFunctions.Utility_DisplayArrayInTable(Agresidue_SourceData.PastureAttributes_Data(), Table_SourceData_PastureAttributes[[#Headers],[Pasture type]], 0)</f>
        <v>2.5000000000000001E-2</v>
      </c>
      <c r="H53" s="19" cm="1">
        <f t="array" ref="H53">Common_InputFunctions.Utility_DisplayArrayInTable(Agresidue_SourceData.PastureAttributes_Data(), Table_SourceData_PastureAttributes[[#Headers],[Pasture type]], 0)</f>
        <v>1.6E-2</v>
      </c>
      <c r="I53" s="19" cm="1">
        <f t="array" ref="I53">Common_InputFunctions.Utility_DisplayArrayInTable(Agresidue_SourceData.PastureAttributes_Data(), Table_SourceData_PastureAttributes[[#Headers],[Pasture type]], 0)</f>
        <v>0.8</v>
      </c>
      <c r="L53" s="8"/>
    </row>
    <row r="54" spans="1:12" ht="20.100000000000001" customHeight="1" x14ac:dyDescent="0.25">
      <c r="D54" s="19" t="str" cm="1">
        <f t="array" ref="D54">Common_InputFunctions.Utility_DisplayArrayInTable(Agresidue_SourceData.PastureAttributes_Data(), Table_SourceData_PastureAttributes[[#Headers],[Pasture type]], 0)</f>
        <v>Lucerne</v>
      </c>
      <c r="E54" s="19" cm="1">
        <f t="array" ref="E54">Common_InputFunctions.Utility_DisplayArrayInTable(Agresidue_SourceData.PastureAttributes_Data(), Table_SourceData_PastureAttributes[[#Headers],[Pasture type]], 0)</f>
        <v>8.6199999999999992</v>
      </c>
      <c r="F54" s="19" cm="1">
        <f t="array" ref="F54">Common_InputFunctions.Utility_DisplayArrayInTable(Agresidue_SourceData.PastureAttributes_Data(), Table_SourceData_PastureAttributes[[#Headers],[Pasture type]], 0)</f>
        <v>0.4</v>
      </c>
      <c r="G54" s="19" cm="1">
        <f t="array" ref="G54">Common_InputFunctions.Utility_DisplayArrayInTable(Agresidue_SourceData.PastureAttributes_Data(), Table_SourceData_PastureAttributes[[#Headers],[Pasture type]], 0)</f>
        <v>2.7E-2</v>
      </c>
      <c r="H54" s="19" cm="1">
        <f t="array" ref="H54">Common_InputFunctions.Utility_DisplayArrayInTable(Agresidue_SourceData.PastureAttributes_Data(), Table_SourceData_PastureAttributes[[#Headers],[Pasture type]], 0)</f>
        <v>1.9E-2</v>
      </c>
      <c r="I54" s="19" cm="1">
        <f t="array" ref="I54">Common_InputFunctions.Utility_DisplayArrayInTable(Agresidue_SourceData.PastureAttributes_Data(), Table_SourceData_PastureAttributes[[#Headers],[Pasture type]], 0)</f>
        <v>0.8</v>
      </c>
    </row>
    <row r="55" spans="1:12" ht="20.100000000000001" customHeight="1" x14ac:dyDescent="0.25">
      <c r="A55" s="83" t="s">
        <v>1</v>
      </c>
      <c r="D55" s="19" t="str" cm="1">
        <f t="array" ref="D55">Common_InputFunctions.Utility_DisplayArrayInTable(Agresidue_SourceData.PastureAttributes_Data(), Table_SourceData_PastureAttributes[[#Headers],[Pasture type]], 0)</f>
        <v>Other legume</v>
      </c>
      <c r="E55" s="19" cm="1">
        <f t="array" ref="E55">Common_InputFunctions.Utility_DisplayArrayInTable(Agresidue_SourceData.PastureAttributes_Data(), Table_SourceData_PastureAttributes[[#Headers],[Pasture type]], 0)</f>
        <v>5.62</v>
      </c>
      <c r="F55" s="19" cm="1">
        <f t="array" ref="F55">Common_InputFunctions.Utility_DisplayArrayInTable(Agresidue_SourceData.PastureAttributes_Data(), Table_SourceData_PastureAttributes[[#Headers],[Pasture type]], 0)</f>
        <v>0.4</v>
      </c>
      <c r="G55" s="19" cm="1">
        <f t="array" ref="G55">Common_InputFunctions.Utility_DisplayArrayInTable(Agresidue_SourceData.PastureAttributes_Data(), Table_SourceData_PastureAttributes[[#Headers],[Pasture type]], 0)</f>
        <v>2.7E-2</v>
      </c>
      <c r="H55" s="19" cm="1">
        <f t="array" ref="H55">Common_InputFunctions.Utility_DisplayArrayInTable(Agresidue_SourceData.PastureAttributes_Data(), Table_SourceData_PastureAttributes[[#Headers],[Pasture type]], 0)</f>
        <v>2.1999999999999999E-2</v>
      </c>
      <c r="I55" s="19" cm="1">
        <f t="array" ref="I55">Common_InputFunctions.Utility_DisplayArrayInTable(Agresidue_SourceData.PastureAttributes_Data(), Table_SourceData_PastureAttributes[[#Headers],[Pasture type]], 0)</f>
        <v>0.8</v>
      </c>
    </row>
    <row r="56" spans="1:12" ht="20.100000000000001" customHeight="1" x14ac:dyDescent="0.25">
      <c r="A56" s="5" t="str">
        <f>HYPERLINK("#'Constants - Dairy'!A1", "Constants - Dairy")</f>
        <v>Constants - Dairy</v>
      </c>
      <c r="D56" s="19" t="str" cm="1">
        <f t="array" ref="D56">Common_InputFunctions.Utility_DisplayArrayInTable(Agresidue_SourceData.PastureAttributes_Data(), Table_SourceData_PastureAttributes[[#Headers],[Pasture type]], 0)</f>
        <v>Perennial pasture</v>
      </c>
      <c r="E56" s="19" cm="1">
        <f t="array" ref="E56">Common_InputFunctions.Utility_DisplayArrayInTable(Agresidue_SourceData.PastureAttributes_Data(), Table_SourceData_PastureAttributes[[#Headers],[Pasture type]], 0)</f>
        <v>8.35</v>
      </c>
      <c r="F56" s="19" cm="1">
        <f t="array" ref="F56">Common_InputFunctions.Utility_DisplayArrayInTable(Agresidue_SourceData.PastureAttributes_Data(), Table_SourceData_PastureAttributes[[#Headers],[Pasture type]], 0)</f>
        <v>0.8</v>
      </c>
      <c r="G56" s="19" cm="1">
        <f t="array" ref="G56">Common_InputFunctions.Utility_DisplayArrayInTable(Agresidue_SourceData.PastureAttributes_Data(), Table_SourceData_PastureAttributes[[#Headers],[Pasture type]], 0)</f>
        <v>1.4999999999999999E-2</v>
      </c>
      <c r="H56" s="19" cm="1">
        <f t="array" ref="H56">Common_InputFunctions.Utility_DisplayArrayInTable(Agresidue_SourceData.PastureAttributes_Data(), Table_SourceData_PastureAttributes[[#Headers],[Pasture type]], 0)</f>
        <v>1.2E-2</v>
      </c>
      <c r="I56" s="19" cm="1">
        <f t="array" ref="I56">Common_InputFunctions.Utility_DisplayArrayInTable(Agresidue_SourceData.PastureAttributes_Data(), Table_SourceData_PastureAttributes[[#Headers],[Pasture type]], 0)</f>
        <v>0.8</v>
      </c>
    </row>
    <row r="57" spans="1:12" ht="20.100000000000001" customHeight="1" x14ac:dyDescent="0.25">
      <c r="A57" s="84" t="str">
        <f>HYPERLINK("#'Constants - Ag Residue'!A1", "Constants - Ag residue")</f>
        <v>Constants - Ag residue</v>
      </c>
      <c r="H57" s="8"/>
    </row>
    <row r="58" spans="1:12" ht="20.100000000000001" customHeight="1" x14ac:dyDescent="0.25">
      <c r="A58" s="5" t="str">
        <f>HYPERLINK("#'Constants - Common Livestock'!A1", "Constants - Common Livestock")</f>
        <v>Constants - Common Livestock</v>
      </c>
    </row>
    <row r="59" spans="1:12" ht="20.100000000000001" customHeight="1" x14ac:dyDescent="0.25">
      <c r="A59" s="5" t="str">
        <f>HYPERLINK("#'Constants - Electricity'!A1", "Constants - Electricity")</f>
        <v>Constants - Electricity</v>
      </c>
      <c r="D59" s="2" t="str" cm="1">
        <f t="array" ref="D59">AgResidues_SourceData.BurningOfAgriculturalResiduesEFs_Title()</f>
        <v>Table 5.31 Burning of agricultural residues - EFs</v>
      </c>
    </row>
    <row r="60" spans="1:12" ht="20.100000000000001" customHeight="1" x14ac:dyDescent="0.25">
      <c r="A60" s="5" t="str">
        <f>HYPERLINK("#'Constants - Fertiliser'!A1", "Constants - Fertiliser")</f>
        <v>Constants - Fertiliser</v>
      </c>
      <c r="D60" s="17" t="str" cm="1">
        <f t="array" ref="D60">AgResidues_SourceData.BurningOfAgriculturalResiduesEFs_Source()</f>
        <v>National Inventory Report 2023 volume 2: Table 5.31: Burning of agricultural residues - EFs</v>
      </c>
    </row>
    <row r="61" spans="1:12" ht="20.100000000000001" customHeight="1" x14ac:dyDescent="0.25">
      <c r="A61" s="5" t="str">
        <f>HYPERLINK("#'Constants - Fuel'!A1", "Constants - Fuel")</f>
        <v>Constants - Fuel</v>
      </c>
    </row>
    <row r="62" spans="1:12" ht="20.100000000000001" customHeight="1" x14ac:dyDescent="0.25">
      <c r="A62" s="5" t="str">
        <f>HYPERLINK("#'Constants - Scope 3'!A1", "Constants - Scope 3")</f>
        <v>Constants - Scope 3</v>
      </c>
      <c r="D62" s="19" t="s">
        <v>1087</v>
      </c>
      <c r="E62" s="19" t="s">
        <v>1088</v>
      </c>
      <c r="F62" s="19" t="s">
        <v>1089</v>
      </c>
    </row>
    <row r="63" spans="1:12" ht="20.100000000000001" customHeight="1" x14ac:dyDescent="0.25">
      <c r="A63" s="5" t="str">
        <f>HYPERLINK("#'Constants - Common'!A1", "Constants - Common")</f>
        <v>Constants - Common</v>
      </c>
      <c r="D63" s="19" t="str" cm="1">
        <f t="array" ref="D63">Common_InputFunctions.Utility_DisplayArrayInTable(AgResidues_SourceData.BurningOfAgriculturalResiduesEFs_Data(), Table_SourceData_BurningResidueEFs[[#Headers],[Gas species]], 0)</f>
        <v>CH4</v>
      </c>
      <c r="E63" s="19" cm="1">
        <f t="array" ref="E63">Common_InputFunctions.Utility_DisplayArrayInTable(AgResidues_SourceData.BurningOfAgriculturalResiduesEFs_Data(), Table_SourceData_BurningResidueEFs[[#Headers],[Gas species]], 0)</f>
        <v>3.5000000000000001E-3</v>
      </c>
      <c r="F63" s="19"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A64" s="5" t="str">
        <f>HYPERLINK("#'Constants - Solid Waste'!A1", "Constants - Solid Waste")</f>
        <v>Constants - Solid Waste</v>
      </c>
      <c r="D64" s="1" t="str" cm="1">
        <f t="array" ref="D64">Common_InputFunctions.Utility_DisplayArrayInTable(AgResidues_SourceData.BurningOfAgriculturalResiduesEFs_Data(), Table_SourceData_BurningResidueEFs[[#Headers],[Gas species]], 0)</f>
        <v>N2O</v>
      </c>
      <c r="E64" s="19" cm="1">
        <f t="array" ref="E64">Common_InputFunctions.Utility_DisplayArrayInTable(AgResidues_SourceData.BurningOfAgriculturalResiduesEFs_Data(), Table_SourceData_BurningResidueEFs[[#Headers],[Gas species]], 0)</f>
        <v>7.6E-3</v>
      </c>
      <c r="F64" s="19" t="str" cm="1">
        <f t="array" ref="F64">Common_InputFunctions.Utility_DisplayArrayInTable(AgResidues_SourceData.BurningOfAgriculturalResiduesEFs_Data(), Table_SourceData_BurningResidueEFs[[#Headers],[Gas species]], 0)</f>
        <v>44/28</v>
      </c>
      <c r="K64" s="8"/>
      <c r="L64" s="8"/>
    </row>
    <row r="65" spans="1:12" ht="20.100000000000001" customHeight="1" x14ac:dyDescent="0.25">
      <c r="A65" s="5" t="str">
        <f>HYPERLINK("#'Acknowledgements'!A1", "Acknowledgements")</f>
        <v>Acknowledgements</v>
      </c>
      <c r="D65" s="1" t="str" cm="1">
        <f t="array" ref="D65">Common_InputFunctions.Utility_DisplayArrayInTable(AgResidues_SourceData.BurningOfAgriculturalResiduesEFs_Data(), Table_SourceData_BurningResidueEFs[[#Headers],[Gas species]], 0)</f>
        <v>NOx</v>
      </c>
      <c r="E65" s="19" cm="1">
        <f t="array" ref="E65">Common_InputFunctions.Utility_DisplayArrayInTable(AgResidues_SourceData.BurningOfAgriculturalResiduesEFs_Data(), Table_SourceData_BurningResidueEFs[[#Headers],[Gas species]], 0)</f>
        <v>0.21</v>
      </c>
      <c r="F65" s="19" t="str" cm="1">
        <f t="array" ref="F65">Common_InputFunctions.Utility_DisplayArrayInTable(AgResidues_SourceData.BurningOfAgriculturalResiduesEFs_Data(), Table_SourceData_BurningResidueEFs[[#Headers],[Gas species]], 0)</f>
        <v>46/14</v>
      </c>
      <c r="K65" s="8"/>
      <c r="L65" s="8"/>
    </row>
    <row r="66" spans="1:12" ht="20.100000000000001" customHeight="1" x14ac:dyDescent="0.25">
      <c r="D66" s="1" t="str" cm="1">
        <f t="array" ref="D66">Common_InputFunctions.Utility_DisplayArrayInTable(AgResidues_SourceData.BurningOfAgriculturalResiduesEFs_Data(), Table_SourceData_BurningResidueEFs[[#Headers],[Gas species]], 0)</f>
        <v>CO</v>
      </c>
      <c r="E66" s="19" cm="1">
        <f t="array" ref="E66">Common_InputFunctions.Utility_DisplayArrayInTable(AgResidues_SourceData.BurningOfAgriculturalResiduesEFs_Data(), Table_SourceData_BurningResidueEFs[[#Headers],[Gas species]], 0)</f>
        <v>7.8E-2</v>
      </c>
      <c r="F66" s="19" t="str" cm="1">
        <f t="array" ref="F66">Common_InputFunctions.Utility_DisplayArrayInTable(AgResidues_SourceData.BurningOfAgriculturalResiduesEFs_Data(), Table_SourceData_BurningResidueEFs[[#Headers],[Gas species]], 0)</f>
        <v>28/12</v>
      </c>
      <c r="K66" s="8"/>
      <c r="L66" s="8"/>
    </row>
    <row r="67" spans="1:12" ht="20.100000000000001" customHeight="1" x14ac:dyDescent="0.25">
      <c r="D67" s="1" t="str" cm="1">
        <f t="array" ref="D67">Common_InputFunctions.Utility_DisplayArrayInTable(AgResidues_SourceData.BurningOfAgriculturalResiduesEFs_Data(), Table_SourceData_BurningResidueEFs[[#Headers],[Gas species]], 0)</f>
        <v>NMVOC</v>
      </c>
      <c r="E67" s="19" cm="1">
        <f t="array" ref="E67">Common_InputFunctions.Utility_DisplayArrayInTable(AgResidues_SourceData.BurningOfAgriculturalResiduesEFs_Data(), Table_SourceData_BurningResidueEFs[[#Headers],[Gas species]], 0)</f>
        <v>9.1000000000000004E-3</v>
      </c>
      <c r="F67" s="19" t="str" cm="1">
        <f t="array" ref="F67">Common_InputFunctions.Utility_DisplayArrayInTable(AgResidues_SourceData.BurningOfAgriculturalResiduesEFs_Data(), Table_SourceData_BurningResidueEFs[[#Headers],[Gas species]], 0)</f>
        <v>14/12</v>
      </c>
      <c r="K67" s="8"/>
      <c r="L67" s="8"/>
    </row>
    <row r="68" spans="1:12" ht="20.100000000000001" customHeight="1" x14ac:dyDescent="0.25">
      <c r="K68" s="8"/>
      <c r="L68" s="8"/>
    </row>
    <row r="69" spans="1:12" ht="20.100000000000001" customHeight="1" x14ac:dyDescent="0.25">
      <c r="K69" s="8"/>
      <c r="L69" s="8"/>
    </row>
    <row r="70" spans="1:12" ht="20.100000000000001" customHeight="1" x14ac:dyDescent="0.25">
      <c r="D70" s="2" t="str" cm="1">
        <f t="array" ref="D70">Agresidue_SourceData.CropFractionRemoved_Title()</f>
        <v>Table A.2.1.2: Crop attributes - Fraction removed (FFODc)</v>
      </c>
      <c r="E70" s="8"/>
      <c r="F70" s="8"/>
      <c r="G70" s="8"/>
      <c r="K70" s="8"/>
      <c r="L70" s="8"/>
    </row>
    <row r="71" spans="1:12" ht="20.100000000000001" customHeight="1" x14ac:dyDescent="0.25">
      <c r="D71" s="17" t="str" cm="1">
        <f t="array" ref="D71">Agresidue_SourceData.CropFractionRemoved_Source()</f>
        <v>VEERG 2026: Table A.2.1.2: Crop attributes - Fraction removed (FFODc)</v>
      </c>
      <c r="E71" s="8"/>
      <c r="F71" s="8"/>
      <c r="G71" s="8"/>
      <c r="K71" s="8"/>
      <c r="L71" s="8"/>
    </row>
    <row r="72" spans="1:12" ht="20.100000000000001" customHeight="1" x14ac:dyDescent="0.25">
      <c r="D72" s="8"/>
      <c r="E72" s="8"/>
      <c r="F72" s="8"/>
      <c r="G72" s="8"/>
      <c r="K72" s="8"/>
      <c r="L72" s="8"/>
    </row>
    <row r="73" spans="1:12" ht="20.100000000000001" customHeight="1" x14ac:dyDescent="0.25">
      <c r="D73" t="s">
        <v>1090</v>
      </c>
      <c r="E73" t="s">
        <v>98</v>
      </c>
      <c r="F73" t="s">
        <v>1091</v>
      </c>
      <c r="G73" s="8"/>
      <c r="K73" s="8"/>
      <c r="L73" s="8"/>
    </row>
    <row r="74" spans="1: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1: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1: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1: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1: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1: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1: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25"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1090</v>
      </c>
      <c r="E92" t="s">
        <v>98</v>
      </c>
      <c r="F92" t="s">
        <v>1091</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1B3B3-5043-4EF3-9CF8-867C573EB746}">
  <sheetPr>
    <tabColor theme="2" tint="-0.499984740745262"/>
  </sheetPr>
  <dimension ref="A1:M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1369</v>
      </c>
      <c r="D1" s="20"/>
      <c r="E1" s="20"/>
      <c r="F1" s="20"/>
      <c r="G1" s="20"/>
      <c r="H1" s="20"/>
      <c r="I1" s="20"/>
      <c r="J1" s="20"/>
      <c r="K1" s="20"/>
      <c r="L1" s="20"/>
      <c r="M1" s="20"/>
    </row>
    <row r="2" spans="1:13" ht="20.100000000000001" customHeight="1" x14ac:dyDescent="0.25">
      <c r="C2" s="3"/>
      <c r="D2" s="3"/>
      <c r="E2" s="3"/>
      <c r="F2" s="3"/>
      <c r="G2" s="3"/>
      <c r="H2" s="3"/>
      <c r="I2" s="3"/>
      <c r="J2" s="3"/>
      <c r="K2" s="3"/>
      <c r="L2" s="3"/>
      <c r="M2" s="3"/>
    </row>
    <row r="3" spans="1:13" ht="20.100000000000001" customHeight="1" x14ac:dyDescent="0.25">
      <c r="A3" s="5" t="str">
        <f>HYPERLINK("#'Home'!A1", "Home")</f>
        <v>Home</v>
      </c>
      <c r="C3" s="22"/>
      <c r="D3" s="22"/>
      <c r="E3" s="22"/>
      <c r="F3" s="22"/>
      <c r="G3" s="22"/>
      <c r="H3" s="22"/>
      <c r="I3" s="22"/>
      <c r="J3" s="22"/>
      <c r="K3" s="22"/>
      <c r="L3" s="22"/>
      <c r="M3" s="22"/>
    </row>
    <row r="4" spans="1:13" ht="20.100000000000001" customHeight="1" x14ac:dyDescent="0.25">
      <c r="A4" s="5" t="str">
        <f>HYPERLINK("#'Results - Activity period'!A1", "Results - Activity period")</f>
        <v>Results - Activity period</v>
      </c>
    </row>
    <row r="5" spans="1:13" ht="20.100000000000001" customHeight="1" x14ac:dyDescent="0.25">
      <c r="A5" s="5" t="str">
        <f>HYPERLINK("#'Results - Product EI'!A1", "Results - Product Emissions Intensity")</f>
        <v>Results - Product Emissions Intensity</v>
      </c>
    </row>
    <row r="6" spans="1:13" ht="20.100000000000001" customHeight="1" x14ac:dyDescent="0.25">
      <c r="A6" s="5" t="str">
        <f>HYPERLINK("#'Results'!A1", "Results")</f>
        <v>Results</v>
      </c>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5">
      <c r="D7" s="24" t="str" cm="1">
        <f t="array" ref="D7">CommonLivestock_SourceData.SourceData_Livestock_Common_SymbolsMMS_Vairable()</f>
        <v>MMS</v>
      </c>
      <c r="E7" s="24"/>
      <c r="F7" s="24"/>
      <c r="G7" s="24"/>
      <c r="H7" s="24"/>
    </row>
    <row r="8" spans="1:13" ht="20.100000000000001" customHeight="1" x14ac:dyDescent="0.25">
      <c r="D8" s="17" t="str" cm="1">
        <f t="array" ref="D8">CommonLivestock_SourceData.SourceData_Livestock_Common_SymbolsMMS_Source()</f>
        <v>National Inventory Report 2023 Volume 1: Table 5.12</v>
      </c>
      <c r="E8" s="24"/>
      <c r="F8" s="24"/>
      <c r="G8" s="24"/>
      <c r="H8" s="24"/>
    </row>
    <row r="9" spans="1:13" ht="20.100000000000001" customHeight="1" x14ac:dyDescent="0.25">
      <c r="A9" s="7" t="s">
        <v>0</v>
      </c>
      <c r="D9" s="26" t="s">
        <v>1370</v>
      </c>
      <c r="E9" s="19" t="s">
        <v>1371</v>
      </c>
      <c r="F9" s="19" t="s">
        <v>581</v>
      </c>
      <c r="G9" s="24"/>
    </row>
    <row r="10" spans="1:13" ht="20.100000000000001" customHeight="1" x14ac:dyDescent="0.25">
      <c r="A10" s="5" t="str">
        <f>HYPERLINK("#'Input - Enterprise'!A1", "Enterprise")</f>
        <v>Enterprise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5">
      <c r="A11" s="5" t="str">
        <f>HYPERLINK("#'Input - Site'!A1", "Site")</f>
        <v>Site</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5">
      <c r="A12" s="5" t="str">
        <f>HYPERLINK("#'Input - Dairy'!A1", "Dairy")</f>
        <v>Dairy</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5">
      <c r="A13" s="5" t="str">
        <f>HYPERLINK("#'Input - Livestock sales'!A1", "Livestock sales")</f>
        <v>Livestock sales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5">
      <c r="A14" s="5" t="str">
        <f>HYPERLINK("#'Input - Dairy cattle purchases'!A1", "Dairy cattle purchases")</f>
        <v>Dairy cattle purchases</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5">
      <c r="A15" s="5" t="str">
        <f>HYPERLINK("#'Input - Pasture'!A1", "Pasture")</f>
        <v>Pasture</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5">
      <c r="A16" s="5" t="str">
        <f>HYPERLINK("#'Input - Fert Prod System'!A1", "Fert Prod System")</f>
        <v>Fert Prod System</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5">
      <c r="A17" s="5" t="str">
        <f>HYPERLINK("#'Input - Fertiliser'!A1", "Fertiliser")</f>
        <v>Fertiliser</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5">
      <c r="A18" s="5" t="str">
        <f>HYPERLINK("#'Input - Fuel'!A1", "Fuel")</f>
        <v>Fuel</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5">
      <c r="A19" s="5" t="str">
        <f>HYPERLINK("#'Input - Electricity'!A1", "Electricity")</f>
        <v>Electricity</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5">
      <c r="A20" s="5" t="str">
        <f>HYPERLINK("#'Input - Common farm inputs'!A1", "Common farm inputs")</f>
        <v>Common farm inputs</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5">
      <c r="A21" s="5" t="str">
        <f>HYPERLINK("#'Input - Crop pasture farm input'!A1", "Crop pasture farm input")</f>
        <v>Crop pasture farm input</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5">
      <c r="A22" s="5" t="str">
        <f>HYPERLINK("#'Input - Livestock farm Inputs'!A1", "Livestock farm Inputs")</f>
        <v>Livestock farm Inputs</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5">
      <c r="A23" s="5" t="str">
        <f>HYPERLINK("#'Input - Freight'!A1", "Freight")</f>
        <v>Freight</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5">
      <c r="A24" s="5" t="str">
        <f>HYPERLINK("#'Input - Solid waste'!A1", "Solid waste")</f>
        <v>Solid waste</v>
      </c>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5">
      <c r="A25" s="5" t="str">
        <f>HYPERLINK("#'Input - Manure sent off-site'!A1", "Manure sent off-site")</f>
        <v>Manure sent off-site</v>
      </c>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5">
      <c r="A26" s="5" t="str">
        <f>HYPERLINK("#'Input - Data quality'!A1", "Data quality")</f>
        <v>Data quality</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5">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5">
      <c r="G28" s="24"/>
      <c r="H28" s="24"/>
    </row>
    <row r="29" spans="1:8" ht="20.100000000000001" customHeight="1" x14ac:dyDescent="0.25">
      <c r="A29" s="6" t="s">
        <v>2</v>
      </c>
    </row>
    <row r="30" spans="1:8" ht="20.100000000000001" customHeight="1" x14ac:dyDescent="0.25">
      <c r="A30" s="5" t="str">
        <f>HYPERLINK("#'3.3.1.1-2 Enteric Methane'!A1", "3.3.1.1-2 Enteric methane")</f>
        <v>3.3.1.1-2 Enteric methane</v>
      </c>
    </row>
    <row r="31" spans="1:8" ht="20.100000000000001" customHeight="1" x14ac:dyDescent="0.25">
      <c r="A31" s="5" t="str">
        <f>HYPERLINK("#'4.3.1.1-2 Methane'!A1", "4.3.1.1-2 Manure methane")</f>
        <v>4.3.1.1-2 Manure methane</v>
      </c>
    </row>
    <row r="32" spans="1:8" ht="20.100000000000001" customHeight="1" x14ac:dyDescent="0.25">
      <c r="A32" s="5" t="str">
        <f>HYPERLINK("#'4.3.1.3-4 Direct N20'!A1", "4.3.1.3-4 Direct N20")</f>
        <v>4.3.1.3-4 Direct N20</v>
      </c>
    </row>
    <row r="33" spans="1:1" ht="20.100000000000001" customHeight="1" x14ac:dyDescent="0.25">
      <c r="A33" s="5" t="str">
        <f>HYPERLINK("#'4.3.1.5 Atmos deposition'!A1", "4.3.1.5 Atmos deposition")</f>
        <v>4.3.1.5 Atmos deposition</v>
      </c>
    </row>
    <row r="34" spans="1:1" ht="20.100000000000001" customHeight="1" x14ac:dyDescent="0.25">
      <c r="A34" s="5" t="str">
        <f>HYPERLINK("#'4.3.1.6-7 Leaching and runoff'!A1", "4.3.1.6-7 Leaching &amp; runoff")</f>
        <v>4.3.1.6-7 Leaching &amp; runoff</v>
      </c>
    </row>
    <row r="35" spans="1:1" ht="20.100000000000001" customHeight="1" x14ac:dyDescent="0.25">
      <c r="A35" s="5" t="str">
        <f>HYPERLINK("#'4.3.1.8 Manure applied to soils'!A1", "4.3.1.8 Manure applied to soils")</f>
        <v>4.3.1.8 Manure applied to soils</v>
      </c>
    </row>
    <row r="36" spans="1:1" ht="20.100000000000001" customHeight="1" x14ac:dyDescent="0.25">
      <c r="A36" s="5" t="str">
        <f>HYPERLINK("#'4.3.1.9 Soil direct N2O'!A1", "4.3.1.9 Soil direct N2O")</f>
        <v>4.3.1.9 Soil direct N2O</v>
      </c>
    </row>
    <row r="37" spans="1:1" ht="20.100000000000001" customHeight="1" x14ac:dyDescent="0.25">
      <c r="A37" s="5" t="str">
        <f>HYPERLINK("#'4.3.1.10-11 Soil Atmos Dep'!A1", "4.3.1.10-11 Soil Atmos Deposition")</f>
        <v>4.3.1.10-11 Soil Atmos Deposition</v>
      </c>
    </row>
    <row r="38" spans="1:1" ht="20.100000000000001" customHeight="1" x14ac:dyDescent="0.25">
      <c r="A38" s="5" t="str">
        <f>HYPERLINK("#'4.3.1.12-13 Soil leach runoff'!A1", "4.3.1.12-13 Soil leach &amp; runoff")</f>
        <v>4.3.1.12-13 Soil leach &amp; runoff</v>
      </c>
    </row>
    <row r="39" spans="1:1" ht="20.100000000000001" customHeight="1" x14ac:dyDescent="0.25">
      <c r="A39" s="5" t="str">
        <f>HYPERLINK("#'5.1.1.1-2 Inorganic fert N2O'!A1", "5.1.1.1-2 Inorganic fert N2O")</f>
        <v>5.1.1.1-2 Inorganic fert N2O</v>
      </c>
    </row>
    <row r="40" spans="1:1" ht="20.100000000000001" customHeight="1" x14ac:dyDescent="0.25">
      <c r="A40" s="5" t="str">
        <f>HYPERLINK("#'5.1.1.3-4 Inorganic fert CO2'!A1", "5.1.1.3-4 Inorganic fert CO2")</f>
        <v>5.1.1.3-4 Inorganic fert CO2</v>
      </c>
    </row>
    <row r="41" spans="1:1" ht="20.100000000000001" customHeight="1" x14ac:dyDescent="0.25">
      <c r="A41" s="5" t="str">
        <f>HYPERLINK("#'5.2.1.1-2 Organic Fert N2O'!A1", "5.2.1.1-2 Organic fert N2O")</f>
        <v>5.2.1.1-2 Organic fert N2O</v>
      </c>
    </row>
    <row r="42" spans="1:1" ht="20.100000000000001" customHeight="1" x14ac:dyDescent="0.25">
      <c r="A42" s="5" t="str">
        <f>HYPERLINK("#'5.3.1.1-2 Lime CO2'!A1", "5.3.1.1-2 Lime CO2")</f>
        <v>5.3.1.1-2 Lime CO2</v>
      </c>
    </row>
    <row r="43" spans="1:1" ht="20.100000000000001" customHeight="1" x14ac:dyDescent="0.25">
      <c r="A43" s="5" t="str">
        <f>HYPERLINK("#'5.4.1.1-4 Atmos deposition'!A1", "5.4.1.1-4 Atmos. deposition")</f>
        <v>5.4.1.1-4 Atmos. deposition</v>
      </c>
    </row>
    <row r="44" spans="1:1" ht="20.100000000000001" customHeight="1" x14ac:dyDescent="0.25">
      <c r="A44" s="5" t="str">
        <f>HYPERLINK("#'5.5.1.1-2 Leaching and runoff'!A1", "5.5.1.1-2 Leaching &amp; runoff")</f>
        <v>5.5.1.1-2 Leaching &amp; runoff</v>
      </c>
    </row>
    <row r="45" spans="1:1" ht="20.100000000000001" customHeight="1" x14ac:dyDescent="0.25">
      <c r="A45" s="5" t="str">
        <f>HYPERLINK("#'6.2.1.1-2 Pasture residue N2O'!A1", "6.2.1.1-2 Pasture residue N2O")</f>
        <v>6.2.1.1-2 Pasture residue N2O</v>
      </c>
    </row>
    <row r="46" spans="1:1" ht="20.100000000000001" customHeight="1" x14ac:dyDescent="0.25">
      <c r="A46" s="5" t="str">
        <f>HYPERLINK("#'6.3.1.1-2 Leach runoff pasture'!A1", "6.3.1.1-2 Leach &amp; runoff (pasture)")</f>
        <v>6.3.1.1-2 Leach &amp; runoff (pasture)</v>
      </c>
    </row>
    <row r="47" spans="1:1" ht="20.100000000000001" customHeight="1" x14ac:dyDescent="0.25">
      <c r="A47" s="5" t="str">
        <f>HYPERLINK("#'8.1.1.1-2 Transport fuel'!A1", "8.1.1.1-2 Transport fuel")</f>
        <v>8.1.1.1-2 Transport fuel</v>
      </c>
    </row>
    <row r="48" spans="1:1"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84" t="str">
        <f>HYPERLINK("#'Constants - Common Livestock'!A1", "Constants - Common Livestock")</f>
        <v>Constants - Common Livestock</v>
      </c>
    </row>
    <row r="59" spans="1:1" ht="20.100000000000001" customHeight="1" x14ac:dyDescent="0.25">
      <c r="A59" s="5"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F424-E0B3-43FF-A4AF-E0DCB5D4AA32}">
  <sheetPr>
    <tabColor theme="2" tint="-0.499984740745262"/>
  </sheetPr>
  <dimension ref="A1:AI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858</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5">
      <c r="A6" s="5" t="str">
        <f>HYPERLINK("#'Results'!A1", "Results")</f>
        <v>Results</v>
      </c>
      <c r="D6" s="17" t="str" cm="1">
        <f t="array" ref="D6">Electricity_SourceData.Electricity_Scope2Scope3LocationBased_Source()</f>
        <v>Australian National Greenhouse Accounts Factors 2025 - Table 1</v>
      </c>
      <c r="E6" s="8"/>
      <c r="F6" s="8"/>
    </row>
    <row r="7" spans="1:35" ht="20.100000000000001" customHeight="1" x14ac:dyDescent="0.25">
      <c r="D7" s="25" t="str" cm="1">
        <f t="array" ref="D7">"⚠️" &amp; Electricity_SourceData.Electricity_Scope2Scope3LocationBased_Variation()</f>
        <v>⚠️VARIATION OF SOURCE DATA: NSW and ACT split into separate rows.</v>
      </c>
      <c r="E7" s="8"/>
      <c r="F7" s="8"/>
    </row>
    <row r="8" spans="1:35" ht="20.100000000000001" customHeight="1" x14ac:dyDescent="0.25">
      <c r="D8" s="8"/>
      <c r="E8" s="8"/>
      <c r="F8" s="8"/>
    </row>
    <row r="9" spans="1:35" ht="20.100000000000001" customHeight="1" x14ac:dyDescent="0.25">
      <c r="A9" s="7" t="s">
        <v>0</v>
      </c>
      <c r="D9" s="201" t="s">
        <v>859</v>
      </c>
      <c r="E9" s="201" t="s">
        <v>860</v>
      </c>
      <c r="F9" s="201" t="s">
        <v>861</v>
      </c>
    </row>
    <row r="10" spans="1:35" ht="20.100000000000001" customHeight="1" x14ac:dyDescent="0.25">
      <c r="A10" s="5" t="str">
        <f>HYPERLINK("#'Input - Enterprise'!A1", "Enterprise")</f>
        <v>Enterprise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Site'!A1", "Site")</f>
        <v>Site</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Dairy'!A1", "Dairy")</f>
        <v>Dairy</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Livestock sales'!A1", "Livestock sales")</f>
        <v>Livestock sales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Dairy cattle purchases'!A1", "Dairy cattle purchases")</f>
        <v>Dairy cattle purchases</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Pasture'!A1", "Pasture")</f>
        <v>Pasture</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Fert Prod System'!A1", "Fert Prod System")</f>
        <v>Fert Prod System</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Fertiliser'!A1", "Fertiliser")</f>
        <v>Fertiliser</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Fuel'!A1", "Fuel")</f>
        <v>Fuel</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Electricity'!A1", "Electricity")</f>
        <v>Electricity</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Common farm inputs'!A1", "Common farm inputs")</f>
        <v>Common farm inputs</v>
      </c>
    </row>
    <row r="21" spans="1:8" ht="20.100000000000001" customHeight="1" x14ac:dyDescent="0.25">
      <c r="A21" s="5" t="str">
        <f>HYPERLINK("#'Input - Crop pasture farm input'!A1", "Crop pasture farm input")</f>
        <v>Crop pasture farm input</v>
      </c>
      <c r="D21" s="2" t="str" cm="1">
        <f t="array" ref="D21">Electricity_SourceData.Electricity_Scope2Scope3MarketBased_Title()</f>
        <v>Electricity scope 2 and scope 3 market-based emission factors</v>
      </c>
    </row>
    <row r="22" spans="1:8" ht="20.100000000000001" customHeight="1" x14ac:dyDescent="0.25">
      <c r="A22" s="5" t="str">
        <f>HYPERLINK("#'Input - Livestock farm Inputs'!A1", "Livestock farm Inputs")</f>
        <v>Livestock farm Inputs</v>
      </c>
      <c r="D22" s="17" t="str" cm="1">
        <f t="array" ref="D22">Electricity_SourceData.Electricity_Scope2Scope3MarketBased_Source()</f>
        <v>Australian National Greenhouse Accounts Factors 2025 - Table 2a</v>
      </c>
    </row>
    <row r="23" spans="1:8" ht="20.100000000000001" customHeight="1" x14ac:dyDescent="0.25">
      <c r="A23" s="5" t="str">
        <f>HYPERLINK("#'Input - Freight'!A1", "Freight")</f>
        <v>Freight</v>
      </c>
    </row>
    <row r="24" spans="1:8" ht="20.100000000000001" customHeight="1" x14ac:dyDescent="0.25">
      <c r="A24" s="5" t="str">
        <f>HYPERLINK("#'Input - Solid waste'!A1", "Solid waste")</f>
        <v>Solid waste</v>
      </c>
      <c r="D24" s="192" t="s">
        <v>859</v>
      </c>
      <c r="E24" s="192" t="s">
        <v>862</v>
      </c>
      <c r="F24" s="192" t="s">
        <v>863</v>
      </c>
      <c r="G24" s="192" t="s">
        <v>864</v>
      </c>
      <c r="H24" s="192" t="s">
        <v>865</v>
      </c>
    </row>
    <row r="25" spans="1:8" ht="20.100000000000001" customHeight="1" x14ac:dyDescent="0.25">
      <c r="A25" s="5" t="str">
        <f>HYPERLINK("#'Input - Manure sent off-site'!A1", "Manure sent off-site")</f>
        <v>Manure sent off-site</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HYPERLINK("#'Input - Data quality'!A1", "Data quality")</f>
        <v>Data quality</v>
      </c>
    </row>
    <row r="27" spans="1:8" ht="20.100000000000001" customHeight="1" x14ac:dyDescent="0.25"/>
    <row r="28" spans="1:8" ht="20.100000000000001" customHeight="1" x14ac:dyDescent="0.25"/>
    <row r="29" spans="1:8" ht="20.100000000000001" customHeight="1" x14ac:dyDescent="0.25">
      <c r="A29" s="6" t="s">
        <v>2</v>
      </c>
    </row>
    <row r="30" spans="1:8" ht="20.100000000000001" customHeight="1" x14ac:dyDescent="0.25">
      <c r="A30" s="5" t="str">
        <f>HYPERLINK("#'3.3.1.1-2 Enteric Methane'!A1", "3.3.1.1-2 Enteric methane")</f>
        <v>3.3.1.1-2 Enteric methane</v>
      </c>
    </row>
    <row r="31" spans="1:8" ht="20.100000000000001" customHeight="1" x14ac:dyDescent="0.25">
      <c r="A31" s="5" t="str">
        <f>HYPERLINK("#'4.3.1.1-2 Methane'!A1", "4.3.1.1-2 Manure methane")</f>
        <v>4.3.1.1-2 Manure methane</v>
      </c>
    </row>
    <row r="32" spans="1:8" ht="20.100000000000001" customHeight="1" x14ac:dyDescent="0.25">
      <c r="A32" s="5" t="str">
        <f>HYPERLINK("#'4.3.1.3-4 Direct N20'!A1", "4.3.1.3-4 Direct N20")</f>
        <v>4.3.1.3-4 Direct N20</v>
      </c>
    </row>
    <row r="33" spans="1:1" ht="20.100000000000001" customHeight="1" x14ac:dyDescent="0.25">
      <c r="A33" s="5" t="str">
        <f>HYPERLINK("#'4.3.1.5 Atmos deposition'!A1", "4.3.1.5 Atmos deposition")</f>
        <v>4.3.1.5 Atmos deposition</v>
      </c>
    </row>
    <row r="34" spans="1:1" ht="20.100000000000001" customHeight="1" x14ac:dyDescent="0.25">
      <c r="A34" s="5" t="str">
        <f>HYPERLINK("#'4.3.1.6-7 Leaching and runoff'!A1", "4.3.1.6-7 Leaching &amp; runoff")</f>
        <v>4.3.1.6-7 Leaching &amp; runoff</v>
      </c>
    </row>
    <row r="35" spans="1:1" ht="20.100000000000001" customHeight="1" x14ac:dyDescent="0.25">
      <c r="A35" s="5" t="str">
        <f>HYPERLINK("#'4.3.1.8 Manure applied to soils'!A1", "4.3.1.8 Manure applied to soils")</f>
        <v>4.3.1.8 Manure applied to soils</v>
      </c>
    </row>
    <row r="36" spans="1:1" ht="20.100000000000001" customHeight="1" x14ac:dyDescent="0.25">
      <c r="A36" s="5" t="str">
        <f>HYPERLINK("#'4.3.1.9 Soil direct N2O'!A1", "4.3.1.9 Soil direct N2O")</f>
        <v>4.3.1.9 Soil direct N2O</v>
      </c>
    </row>
    <row r="37" spans="1:1" ht="20.100000000000001" customHeight="1" x14ac:dyDescent="0.25">
      <c r="A37" s="5" t="str">
        <f>HYPERLINK("#'4.3.1.10-11 Soil Atmos Dep'!A1", "4.3.1.10-11 Soil Atmos Deposition")</f>
        <v>4.3.1.10-11 Soil Atmos Deposition</v>
      </c>
    </row>
    <row r="38" spans="1:1" ht="20.100000000000001" customHeight="1" x14ac:dyDescent="0.25">
      <c r="A38" s="5" t="str">
        <f>HYPERLINK("#'4.3.1.12-13 Soil leach runoff'!A1", "4.3.1.12-13 Soil leach &amp; runoff")</f>
        <v>4.3.1.12-13 Soil leach &amp; runoff</v>
      </c>
    </row>
    <row r="39" spans="1:1" ht="20.100000000000001" customHeight="1" x14ac:dyDescent="0.25">
      <c r="A39" s="5" t="str">
        <f>HYPERLINK("#'5.1.1.1-2 Inorganic fert N2O'!A1", "5.1.1.1-2 Inorganic fert N2O")</f>
        <v>5.1.1.1-2 Inorganic fert N2O</v>
      </c>
    </row>
    <row r="40" spans="1:1" ht="20.100000000000001" customHeight="1" x14ac:dyDescent="0.25">
      <c r="A40" s="5" t="str">
        <f>HYPERLINK("#'5.1.1.3-4 Inorganic fert CO2'!A1", "5.1.1.3-4 Inorganic fert CO2")</f>
        <v>5.1.1.3-4 Inorganic fert CO2</v>
      </c>
    </row>
    <row r="41" spans="1:1" ht="20.100000000000001" customHeight="1" x14ac:dyDescent="0.25">
      <c r="A41" s="5" t="str">
        <f>HYPERLINK("#'5.2.1.1-2 Organic Fert N2O'!A1", "5.2.1.1-2 Organic fert N2O")</f>
        <v>5.2.1.1-2 Organic fert N2O</v>
      </c>
    </row>
    <row r="42" spans="1:1" ht="20.100000000000001" customHeight="1" x14ac:dyDescent="0.25">
      <c r="A42" s="5" t="str">
        <f>HYPERLINK("#'5.3.1.1-2 Lime CO2'!A1", "5.3.1.1-2 Lime CO2")</f>
        <v>5.3.1.1-2 Lime CO2</v>
      </c>
    </row>
    <row r="43" spans="1:1" ht="20.100000000000001" customHeight="1" x14ac:dyDescent="0.25">
      <c r="A43" s="5" t="str">
        <f>HYPERLINK("#'5.4.1.1-4 Atmos deposition'!A1", "5.4.1.1-4 Atmos. deposition")</f>
        <v>5.4.1.1-4 Atmos. deposition</v>
      </c>
    </row>
    <row r="44" spans="1:1" ht="20.100000000000001" customHeight="1" x14ac:dyDescent="0.25">
      <c r="A44" s="5" t="str">
        <f>HYPERLINK("#'5.5.1.1-2 Leaching and runoff'!A1", "5.5.1.1-2 Leaching &amp; runoff")</f>
        <v>5.5.1.1-2 Leaching &amp; runoff</v>
      </c>
    </row>
    <row r="45" spans="1:1" ht="20.100000000000001" customHeight="1" x14ac:dyDescent="0.25">
      <c r="A45" s="5" t="str">
        <f>HYPERLINK("#'6.2.1.1-2 Pasture residue N2O'!A1", "6.2.1.1-2 Pasture residue N2O")</f>
        <v>6.2.1.1-2 Pasture residue N2O</v>
      </c>
    </row>
    <row r="46" spans="1:1" ht="20.100000000000001" customHeight="1" x14ac:dyDescent="0.25">
      <c r="A46" s="5" t="str">
        <f>HYPERLINK("#'6.3.1.1-2 Leach runoff pasture'!A1", "6.3.1.1-2 Leach &amp; runoff (pasture)")</f>
        <v>6.3.1.1-2 Leach &amp; runoff (pasture)</v>
      </c>
    </row>
    <row r="47" spans="1:1" ht="20.100000000000001" customHeight="1" x14ac:dyDescent="0.25">
      <c r="A47" s="5" t="str">
        <f>HYPERLINK("#'8.1.1.1-2 Transport fuel'!A1", "8.1.1.1-2 Transport fuel")</f>
        <v>8.1.1.1-2 Transport fuel</v>
      </c>
    </row>
    <row r="48" spans="1:1" ht="20.100000000000001" customHeight="1" x14ac:dyDescent="0.25">
      <c r="A48" s="5" t="str">
        <f>HYPERLINK("#'8.2.1.1-2 Stationary fuel'!A1", "8.2.1.1-2 Stationary fuel")</f>
        <v>8.2.1.1-2 Stationary fuel</v>
      </c>
    </row>
    <row r="49" spans="1:1" ht="20.100000000000001" customHeight="1" x14ac:dyDescent="0.25">
      <c r="A49" s="5" t="str">
        <f>HYPERLINK("#'10.1.1-2 Solid waste treatment'!A1", "10.1.1.1-2 Solid waste")</f>
        <v>10.1.1.1-2 Solid waste</v>
      </c>
    </row>
    <row r="50" spans="1:1" ht="20.100000000000001" customHeight="1" x14ac:dyDescent="0.25">
      <c r="A50" s="5" t="str">
        <f>HYPERLINK("#'14.1.1-2 Purchased electricity'!A1", "14.1.1-2 Purchased electricity")</f>
        <v>14.1.1-2 Purchased electricity</v>
      </c>
    </row>
    <row r="51" spans="1:1" ht="20.100000000000001" customHeight="1" x14ac:dyDescent="0.25">
      <c r="A51" s="5" t="str">
        <f>HYPERLINK("#'15 Scope 3'!A1", "15 Scope 3")</f>
        <v>15 Scope 3</v>
      </c>
    </row>
    <row r="52" spans="1:1" ht="20.100000000000001" customHeight="1" x14ac:dyDescent="0.25">
      <c r="A52" s="5" t="str">
        <f>HYPERLINK("#'Calcs - Manure sent off-site'!A1", "Calcs - Manure sent off-site")</f>
        <v>Calcs - Manure sent off-site</v>
      </c>
    </row>
    <row r="53" spans="1:1" ht="20.100000000000001" customHeight="1" x14ac:dyDescent="0.25"/>
    <row r="54" spans="1:1" ht="20.100000000000001" customHeight="1" x14ac:dyDescent="0.25"/>
    <row r="55" spans="1:1" ht="20.100000000000001" customHeight="1" x14ac:dyDescent="0.25">
      <c r="A55" s="83" t="s">
        <v>1</v>
      </c>
    </row>
    <row r="56" spans="1:1" ht="20.100000000000001" customHeight="1" x14ac:dyDescent="0.25">
      <c r="A56" s="5" t="str">
        <f>HYPERLINK("#'Constants - Dairy'!A1", "Constants - Dairy")</f>
        <v>Constants - Dairy</v>
      </c>
    </row>
    <row r="57" spans="1:1" ht="20.100000000000001" customHeight="1" x14ac:dyDescent="0.25">
      <c r="A57" s="5" t="str">
        <f>HYPERLINK("#'Constants - Ag Residue'!A1", "Constants - Ag residue")</f>
        <v>Constants - Ag residue</v>
      </c>
    </row>
    <row r="58" spans="1:1" ht="20.100000000000001" customHeight="1" x14ac:dyDescent="0.25">
      <c r="A58" s="5" t="str">
        <f>HYPERLINK("#'Constants - Common Livestock'!A1", "Constants - Common Livestock")</f>
        <v>Constants - Common Livestock</v>
      </c>
    </row>
    <row r="59" spans="1:1" ht="20.100000000000001" customHeight="1" x14ac:dyDescent="0.25">
      <c r="A59" s="84" t="str">
        <f>HYPERLINK("#'Constants - Electricity'!A1", "Constants - Electricity")</f>
        <v>Constants - Electricity</v>
      </c>
    </row>
    <row r="60" spans="1:1" ht="20.100000000000001" customHeight="1" x14ac:dyDescent="0.25">
      <c r="A60" s="5" t="str">
        <f>HYPERLINK("#'Constants - Fertiliser'!A1", "Constants - Fertiliser")</f>
        <v>Constants - Fertiliser</v>
      </c>
    </row>
    <row r="61" spans="1:1" ht="20.100000000000001" customHeight="1" x14ac:dyDescent="0.25">
      <c r="A61" s="5" t="str">
        <f>HYPERLINK("#'Constants - Fuel'!A1", "Constants - Fuel")</f>
        <v>Constants - Fuel</v>
      </c>
    </row>
    <row r="62" spans="1:1" ht="20.100000000000001" customHeight="1" x14ac:dyDescent="0.25">
      <c r="A62" s="5" t="str">
        <f>HYPERLINK("#'Constants - Scope 3'!A1", "Constants - Scope 3")</f>
        <v>Constants - Scope 3</v>
      </c>
    </row>
    <row r="63" spans="1:1" ht="20.100000000000001" customHeight="1" x14ac:dyDescent="0.25">
      <c r="A63" s="5" t="str">
        <f>HYPERLINK("#'Constants - Common'!A1", "Constants - Common")</f>
        <v>Constants - Common</v>
      </c>
    </row>
    <row r="64" spans="1:1" ht="20.100000000000001" customHeight="1" x14ac:dyDescent="0.25">
      <c r="A64" s="5" t="str">
        <f>HYPERLINK("#'Constants - Solid Waste'!A1", "Constants - Solid Waste")</f>
        <v>Constants - Solid Waste</v>
      </c>
    </row>
    <row r="65" spans="1:1" ht="20.100000000000001" customHeight="1" x14ac:dyDescent="0.25">
      <c r="A65" s="5" t="str">
        <f>HYPERLINK("#'Acknowledgements'!A1", "Acknowledgements")</f>
        <v>Acknowledgements</v>
      </c>
    </row>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237E-B13A-497C-8F39-07854B701653}">
  <dimension ref="A1:AM223"/>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791</v>
      </c>
      <c r="AF1" s="1"/>
      <c r="AG1" s="1"/>
      <c r="AH1" s="1"/>
      <c r="AI1" s="1"/>
      <c r="AJ1" s="1"/>
    </row>
    <row r="2" spans="1:36" s="3" customFormat="1" ht="20.100000000000001" customHeight="1" x14ac:dyDescent="0.25">
      <c r="A2"/>
      <c r="AF2" s="1"/>
      <c r="AG2" s="1"/>
      <c r="AH2" s="1"/>
      <c r="AI2" s="1"/>
      <c r="AJ2" s="1"/>
    </row>
    <row r="3" spans="1:36"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5">
      <c r="A4" s="5" t="str">
        <f>HYPERLINK("#'Results - Activity period'!A1", "Results - Activity period")</f>
        <v>Results - Activity period</v>
      </c>
    </row>
    <row r="5" spans="1:36" ht="20.100000000000001" customHeight="1" x14ac:dyDescent="0.25">
      <c r="A5" s="5" t="str">
        <f>HYPERLINK("#'Results - Product EI'!A1", "Results - Product Emissions Intensity")</f>
        <v>Results - Product Emissions Intensity</v>
      </c>
      <c r="D5" s="2" t="str" cm="1">
        <f t="array" ref="D5">Fertiliser_SourceData.Fertiliser_ChemicalCompoundElements_Title()</f>
        <v>Common inorganic fertilisers</v>
      </c>
      <c r="E5" s="184"/>
      <c r="F5" s="184"/>
      <c r="G5" s="184"/>
      <c r="H5" s="184"/>
      <c r="I5" s="184"/>
      <c r="J5" s="184"/>
    </row>
    <row r="6" spans="1:36" ht="20.100000000000001" customHeight="1" x14ac:dyDescent="0.25">
      <c r="A6" s="5" t="str">
        <f>HYPERLINK("#'Results'!A1", "Results")</f>
        <v>Results</v>
      </c>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5">
      <c r="D7" s="25" t="str" cm="1">
        <f t="array" ref="D7:D18">Fertiliser_SourceData.Fertiliser_ChemicalCompoundElements_Variation()</f>
        <v>VARIATION ON SOURCE</v>
      </c>
    </row>
    <row r="8" spans="1:36" ht="20.100000000000001" customHeight="1" x14ac:dyDescent="0.25">
      <c r="D8" s="25" t="str">
        <v>Added 'Basis' column to allow cross-referencing with table Table A.2.2.6: Fraction of inorganic fertiliser f that volatilises as NH3 and NOx ((kg NH3-N + NOx-N)/kg N) (FracGASFf)</v>
      </c>
    </row>
    <row r="9" spans="1:36" ht="20.100000000000001" customHeight="1" x14ac:dyDescent="0.25">
      <c r="A9" s="7" t="s">
        <v>0</v>
      </c>
      <c r="D9" s="25" t="str">
        <v>Added extra fertiliser types and generic chemical compounds to allow for custom NPKS blends</v>
      </c>
    </row>
    <row r="10" spans="1:36" ht="20.100000000000001" customHeight="1" x14ac:dyDescent="0.25">
      <c r="A10" s="5" t="str">
        <f>HYPERLINK("#'Input - Enterprise'!A1", "Enterprise")</f>
        <v>Enterprise</v>
      </c>
      <c r="D10" s="25" t="str">
        <v>Added extra 'Scope 3 definition' column to allow mapping with scope 3 data</v>
      </c>
    </row>
    <row r="11" spans="1:36" ht="20.100000000000001" customHeight="1" x14ac:dyDescent="0.25">
      <c r="A11" s="5" t="str">
        <f>HYPERLINK("#'Input - Site'!A1", "Site")</f>
        <v>Site</v>
      </c>
      <c r="D11" s="25" t="str">
        <v>Added 'Source' column</v>
      </c>
    </row>
    <row r="12" spans="1:36" ht="20.100000000000001" customHeight="1" x14ac:dyDescent="0.25">
      <c r="A12" s="5" t="str">
        <f>HYPERLINK("#'Input - Dairy'!A1", "Dairy")</f>
        <v>Dairy</v>
      </c>
      <c r="D12" s="25" t="str">
        <v>Combined data from Table A.2.2.3 and Table A.2.2.4 into one table to aid lookup.</v>
      </c>
    </row>
    <row r="13" spans="1:36" ht="20.100000000000001" customHeight="1" x14ac:dyDescent="0.25">
      <c r="A13" s="5" t="str">
        <f>HYPERLINK("#'Input - Livestock sales'!A1", "Livestock sales")</f>
        <v>Livestock sales</v>
      </c>
      <c r="D13" s="25" t="str">
        <v>Excluded 'References' column</v>
      </c>
    </row>
    <row r="14" spans="1:36" ht="20.100000000000001" customHeight="1" x14ac:dyDescent="0.25">
      <c r="A14" s="5" t="str">
        <f>HYPERLINK("#'Input - Dairy cattle purchases'!A1", "Dairy cattle purchases")</f>
        <v>Dairy cattle purchases</v>
      </c>
      <c r="D14" s="25" t="str">
        <v>Excluded 'Ammonium sulfate' as it is a duplicate of 'Sulphate of ammonia (SOA)'</v>
      </c>
    </row>
    <row r="15" spans="1:36" ht="20.100000000000001" customHeight="1" x14ac:dyDescent="0.25">
      <c r="A15" s="5" t="str">
        <f>HYPERLINK("#'Input - Pasture'!A1", "Pasture")</f>
        <v>Pasture</v>
      </c>
      <c r="D15" s="25" t="str">
        <v>Excluded 'Calcium nitrate' as no scope 3 value available.</v>
      </c>
    </row>
    <row r="16" spans="1:36" ht="20.100000000000001" customHeight="1" x14ac:dyDescent="0.25">
      <c r="A16" s="5" t="str">
        <f>HYPERLINK("#'Input - Fert Prod System'!A1", "Fert Prod System")</f>
        <v>Fert Prod System</v>
      </c>
      <c r="D16" s="25" t="str">
        <v>Set 'Nitrogen - Generic' basis as 'Urea-based fertilisers, as urea is the most commonly used form of nitrogen in Australian fertilisers</v>
      </c>
    </row>
    <row r="17" spans="1:22" ht="20.100000000000001" customHeight="1" x14ac:dyDescent="0.25">
      <c r="A17" s="5" t="str">
        <f>HYPERLINK("#'Input - Fertiliser'!A1", "Fertiliser")</f>
        <v>Fertiliser</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Fuel'!A1", "Fuel")</f>
        <v>Fuel</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Electricity'!A1", "Electricity")</f>
        <v>Electricity</v>
      </c>
      <c r="D19" t="s">
        <v>712</v>
      </c>
      <c r="E19" t="s">
        <v>792</v>
      </c>
      <c r="F19" t="s">
        <v>793</v>
      </c>
      <c r="G19" t="s">
        <v>767</v>
      </c>
      <c r="H19" t="s">
        <v>794</v>
      </c>
      <c r="I19" t="s">
        <v>795</v>
      </c>
      <c r="K19" s="19" t="s">
        <v>712</v>
      </c>
      <c r="L19" s="19" t="s">
        <v>792</v>
      </c>
      <c r="Q19" s="19" t="s">
        <v>712</v>
      </c>
      <c r="R19" s="19" t="s">
        <v>792</v>
      </c>
      <c r="V19" s="19" t="s">
        <v>795</v>
      </c>
    </row>
    <row r="20" spans="1:22" ht="20.100000000000001" customHeight="1" x14ac:dyDescent="0.25">
      <c r="A20" s="5" t="str">
        <f>HYPERLINK("#'Input - Common farm inputs'!A1", "Common farm inputs")</f>
        <v>Common farm inputs</v>
      </c>
      <c r="D20" s="192" t="str" cm="1">
        <f t="array" ref="D20">Common_InputFunctions.Utility_DisplayArrayInTable(Fertiliser_SourceData.Fertiliser_ChemicalCompoundElements_Data(),Table_Fertiliser_ChemicalCompounds[[#Headers],[Fertiliser type f]], 0)</f>
        <v>Monoammonium phosphate (MAP)</v>
      </c>
      <c r="E20" s="192" cm="1">
        <f t="array" ref="E20">Common_InputFunctions.Utility_DisplayArrayInTable(Fertiliser_SourceData.Fertiliser_ChemicalCompoundElements_Data(),Table_Fertiliser_ChemicalCompounds[[#Headers],[Fertiliser type f]], 0)</f>
        <v>0.1</v>
      </c>
      <c r="F20" s="192" cm="1">
        <f t="array" ref="F20">Common_InputFunctions.Utility_DisplayArrayInTable(Fertiliser_SourceData.Fertiliser_ChemicalCompoundElements_Data(),Table_Fertiliser_ChemicalCompounds[[#Headers],[Fertiliser type f]], 0)</f>
        <v>0</v>
      </c>
      <c r="G20" s="192" t="str" cm="1">
        <f t="array" ref="G20">Common_InputFunctions.Utility_DisplayArrayInTable(Fertiliser_SourceData.Fertiliser_ChemicalCompoundElements_Data(),Table_Fertiliser_ChemicalCompounds[[#Headers],[Fertiliser type f]], 0)</f>
        <v>Ammonium-based fertilisers</v>
      </c>
      <c r="H20" s="192" t="str" cm="1">
        <f t="array" ref="H20">Common_InputFunctions.Utility_DisplayArrayInTable(Fertiliser_SourceData.Fertiliser_ChemicalCompoundElements_Data(),Table_Fertiliser_ChemicalCompounds[[#Headers],[Fertiliser type f]], 0)</f>
        <v>Monoammonium phosphate (MAP)</v>
      </c>
      <c r="I20" s="192"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5" t="str">
        <f>HYPERLINK("#'Input - Crop pasture farm input'!A1", "Crop pasture farm input")</f>
        <v>Crop pasture farm input</v>
      </c>
      <c r="D21" s="192" t="str" cm="1">
        <f t="array" ref="D21">Common_InputFunctions.Utility_DisplayArrayInTable(Fertiliser_SourceData.Fertiliser_ChemicalCompoundElements_Data(),Table_Fertiliser_ChemicalCompounds[[#Headers],[Fertiliser type f]], 0)</f>
        <v>Diammonium phosphate (DAP)</v>
      </c>
      <c r="E21" s="192" cm="1">
        <f t="array" ref="E21">Common_InputFunctions.Utility_DisplayArrayInTable(Fertiliser_SourceData.Fertiliser_ChemicalCompoundElements_Data(),Table_Fertiliser_ChemicalCompounds[[#Headers],[Fertiliser type f]], 0)</f>
        <v>0.18</v>
      </c>
      <c r="F21" s="192" cm="1">
        <f t="array" ref="F21">Common_InputFunctions.Utility_DisplayArrayInTable(Fertiliser_SourceData.Fertiliser_ChemicalCompoundElements_Data(),Table_Fertiliser_ChemicalCompounds[[#Headers],[Fertiliser type f]], 0)</f>
        <v>0</v>
      </c>
      <c r="G21" s="192" t="str" cm="1">
        <f t="array" ref="G21">Common_InputFunctions.Utility_DisplayArrayInTable(Fertiliser_SourceData.Fertiliser_ChemicalCompoundElements_Data(),Table_Fertiliser_ChemicalCompounds[[#Headers],[Fertiliser type f]], 0)</f>
        <v>Ammonium-based fertilisers</v>
      </c>
      <c r="H21" s="192" t="str" cm="1">
        <f t="array" ref="H21">Common_InputFunctions.Utility_DisplayArrayInTable(Fertiliser_SourceData.Fertiliser_ChemicalCompoundElements_Data(),Table_Fertiliser_ChemicalCompounds[[#Headers],[Fertiliser type f]], 0)</f>
        <v>Diammonium phosphate (DAP)</v>
      </c>
      <c r="I21" s="192"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5" t="str">
        <f>HYPERLINK("#'Input - Livestock farm Inputs'!A1", "Livestock farm Inputs")</f>
        <v>Livestock farm Inputs</v>
      </c>
      <c r="D22" s="192" t="str" cm="1">
        <f t="array" ref="D22">Common_InputFunctions.Utility_DisplayArrayInTable(Fertiliser_SourceData.Fertiliser_ChemicalCompoundElements_Data(),Table_Fertiliser_ChemicalCompounds[[#Headers],[Fertiliser type f]], 0)</f>
        <v>Urea</v>
      </c>
      <c r="E22" s="192" cm="1">
        <f t="array" ref="E22">Common_InputFunctions.Utility_DisplayArrayInTable(Fertiliser_SourceData.Fertiliser_ChemicalCompoundElements_Data(),Table_Fertiliser_ChemicalCompounds[[#Headers],[Fertiliser type f]], 0)</f>
        <v>0.46</v>
      </c>
      <c r="F22" s="192" cm="1">
        <f t="array" ref="F22">Common_InputFunctions.Utility_DisplayArrayInTable(Fertiliser_SourceData.Fertiliser_ChemicalCompoundElements_Data(),Table_Fertiliser_ChemicalCompounds[[#Headers],[Fertiliser type f]], 0)</f>
        <v>1</v>
      </c>
      <c r="G22" s="192" t="str" cm="1">
        <f t="array" ref="G22">Common_InputFunctions.Utility_DisplayArrayInTable(Fertiliser_SourceData.Fertiliser_ChemicalCompoundElements_Data(),Table_Fertiliser_ChemicalCompounds[[#Headers],[Fertiliser type f]], 0)</f>
        <v>Urea-based fertilisers</v>
      </c>
      <c r="H22" s="192" t="str" cm="1">
        <f t="array" ref="H22">Common_InputFunctions.Utility_DisplayArrayInTable(Fertiliser_SourceData.Fertiliser_ChemicalCompoundElements_Data(),Table_Fertiliser_ChemicalCompounds[[#Headers],[Fertiliser type f]], 0)</f>
        <v>Urea</v>
      </c>
      <c r="I22" s="192"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5" t="str">
        <f>HYPERLINK("#'Input - Freight'!A1", "Freight")</f>
        <v>Freight</v>
      </c>
      <c r="D23" s="192" t="str" cm="1">
        <f t="array" ref="D23">Common_InputFunctions.Utility_DisplayArrayInTable(Fertiliser_SourceData.Fertiliser_ChemicalCompoundElements_Data(),Table_Fertiliser_ChemicalCompounds[[#Headers],[Fertiliser type f]], 0)</f>
        <v>Sulphate of ammonia (SOA)</v>
      </c>
      <c r="E23" s="192" cm="1">
        <f t="array" ref="E23">Common_InputFunctions.Utility_DisplayArrayInTable(Fertiliser_SourceData.Fertiliser_ChemicalCompoundElements_Data(),Table_Fertiliser_ChemicalCompounds[[#Headers],[Fertiliser type f]], 0)</f>
        <v>0.21</v>
      </c>
      <c r="F23" s="192" cm="1">
        <f t="array" ref="F23">Common_InputFunctions.Utility_DisplayArrayInTable(Fertiliser_SourceData.Fertiliser_ChemicalCompoundElements_Data(),Table_Fertiliser_ChemicalCompounds[[#Headers],[Fertiliser type f]], 0)</f>
        <v>0</v>
      </c>
      <c r="G23" s="192" t="str" cm="1">
        <f t="array" ref="G23">Common_InputFunctions.Utility_DisplayArrayInTable(Fertiliser_SourceData.Fertiliser_ChemicalCompoundElements_Data(),Table_Fertiliser_ChemicalCompounds[[#Headers],[Fertiliser type f]], 0)</f>
        <v>Ammonium-based fertilisers</v>
      </c>
      <c r="H23" s="192" t="str" cm="1">
        <f t="array" ref="H23">Common_InputFunctions.Utility_DisplayArrayInTable(Fertiliser_SourceData.Fertiliser_ChemicalCompoundElements_Data(),Table_Fertiliser_ChemicalCompounds[[#Headers],[Fertiliser type f]], 0)</f>
        <v>Sulphate of ammonia (SOA)</v>
      </c>
      <c r="I23" s="192"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HYPERLINK("#'Input - Solid waste'!A1", "Solid waste")</f>
        <v>Solid waste</v>
      </c>
      <c r="D24" s="192" t="str" cm="1">
        <f t="array" ref="D24">Common_InputFunctions.Utility_DisplayArrayInTable(Fertiliser_SourceData.Fertiliser_ChemicalCompoundElements_Data(),Table_Fertiliser_ChemicalCompounds[[#Headers],[Fertiliser type f]], 0)</f>
        <v>Urea-ammonium nitrate (UAN)</v>
      </c>
      <c r="E24" s="192" cm="1">
        <f t="array" ref="E24">Common_InputFunctions.Utility_DisplayArrayInTable(Fertiliser_SourceData.Fertiliser_ChemicalCompoundElements_Data(),Table_Fertiliser_ChemicalCompounds[[#Headers],[Fertiliser type f]], 0)</f>
        <v>0.32</v>
      </c>
      <c r="F24" s="192" cm="1">
        <f t="array" ref="F24">Common_InputFunctions.Utility_DisplayArrayInTable(Fertiliser_SourceData.Fertiliser_ChemicalCompoundElements_Data(),Table_Fertiliser_ChemicalCompounds[[#Headers],[Fertiliser type f]], 0)</f>
        <v>0.35</v>
      </c>
      <c r="G24" s="192" t="str" cm="1">
        <f t="array" ref="G24">Common_InputFunctions.Utility_DisplayArrayInTable(Fertiliser_SourceData.Fertiliser_ChemicalCompoundElements_Data(),Table_Fertiliser_ChemicalCompounds[[#Headers],[Fertiliser type f]], 0)</f>
        <v>Urea-based fertilisers</v>
      </c>
      <c r="H24" s="192" t="str" cm="1">
        <f t="array" ref="H24">Common_InputFunctions.Utility_DisplayArrayInTable(Fertiliser_SourceData.Fertiliser_ChemicalCompoundElements_Data(),Table_Fertiliser_ChemicalCompounds[[#Headers],[Fertiliser type f]], 0)</f>
        <v>Urea-ammonium nitrate (UAN)</v>
      </c>
      <c r="I24" s="192"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5">
      <c r="A25" s="5" t="str">
        <f>HYPERLINK("#'Input - Manure sent off-site'!A1", "Manure sent off-site")</f>
        <v>Manure sent off-site</v>
      </c>
      <c r="D25" s="192" t="str" cm="1">
        <f t="array" ref="D25">Common_InputFunctions.Utility_DisplayArrayInTable(Fertiliser_SourceData.Fertiliser_ChemicalCompoundElements_Data(),Table_Fertiliser_ChemicalCompounds[[#Headers],[Fertiliser type f]], 0)</f>
        <v>Ammonium nitrate (AN)</v>
      </c>
      <c r="E25" s="192" cm="1">
        <f t="array" ref="E25">Common_InputFunctions.Utility_DisplayArrayInTable(Fertiliser_SourceData.Fertiliser_ChemicalCompoundElements_Data(),Table_Fertiliser_ChemicalCompounds[[#Headers],[Fertiliser type f]], 0)</f>
        <v>0.33700000000000002</v>
      </c>
      <c r="F25" s="192" cm="1">
        <f t="array" ref="F25">Common_InputFunctions.Utility_DisplayArrayInTable(Fertiliser_SourceData.Fertiliser_ChemicalCompoundElements_Data(),Table_Fertiliser_ChemicalCompounds[[#Headers],[Fertiliser type f]], 0)</f>
        <v>0</v>
      </c>
      <c r="G25" s="192" t="str" cm="1">
        <f t="array" ref="G25">Common_InputFunctions.Utility_DisplayArrayInTable(Fertiliser_SourceData.Fertiliser_ChemicalCompoundElements_Data(),Table_Fertiliser_ChemicalCompounds[[#Headers],[Fertiliser type f]], 0)</f>
        <v>Ammonium-nitrate based fertilisers</v>
      </c>
      <c r="H25" s="192" t="str" cm="1">
        <f t="array" ref="H25">Common_InputFunctions.Utility_DisplayArrayInTable(Fertiliser_SourceData.Fertiliser_ChemicalCompoundElements_Data(),Table_Fertiliser_ChemicalCompounds[[#Headers],[Fertiliser type f]], 0)</f>
        <v>Ammonium nitrate (AN)</v>
      </c>
      <c r="I25" s="192"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5">
      <c r="A26" s="5" t="str">
        <f>HYPERLINK("#'Input - Data quality'!A1", "Data quality")</f>
        <v>Data quality</v>
      </c>
      <c r="D26" s="192" t="str" cm="1">
        <f t="array" ref="D26">Common_InputFunctions.Utility_DisplayArrayInTable(Fertiliser_SourceData.Fertiliser_ChemicalCompoundElements_Data(),Table_Fertiliser_ChemicalCompounds[[#Headers],[Fertiliser type f]], 0)</f>
        <v>Calcium ammonium nitrate (CAN)</v>
      </c>
      <c r="E26" s="192" cm="1">
        <f t="array" ref="E26">Common_InputFunctions.Utility_DisplayArrayInTable(Fertiliser_SourceData.Fertiliser_ChemicalCompoundElements_Data(),Table_Fertiliser_ChemicalCompounds[[#Headers],[Fertiliser type f]], 0)</f>
        <v>0.27</v>
      </c>
      <c r="F26" s="192" cm="1">
        <f t="array" ref="F26">Common_InputFunctions.Utility_DisplayArrayInTable(Fertiliser_SourceData.Fertiliser_ChemicalCompoundElements_Data(),Table_Fertiliser_ChemicalCompounds[[#Headers],[Fertiliser type f]], 0)</f>
        <v>0</v>
      </c>
      <c r="G26" s="192" t="str" cm="1">
        <f t="array" ref="G26">Common_InputFunctions.Utility_DisplayArrayInTable(Fertiliser_SourceData.Fertiliser_ChemicalCompoundElements_Data(),Table_Fertiliser_ChemicalCompounds[[#Headers],[Fertiliser type f]], 0)</f>
        <v>Ammonium-nitrate based fertilisers</v>
      </c>
      <c r="H26" s="192" t="str" cm="1">
        <f t="array" ref="H26">Common_InputFunctions.Utility_DisplayArrayInTable(Fertiliser_SourceData.Fertiliser_ChemicalCompoundElements_Data(),Table_Fertiliser_ChemicalCompounds[[#Headers],[Fertiliser type f]], 0)</f>
        <v>Calcium ammonium nitrate (CAN)</v>
      </c>
      <c r="I26" s="192"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5">
      <c r="D27" s="192" t="str" cm="1">
        <f t="array" ref="D27">Common_InputFunctions.Utility_DisplayArrayInTable(Fertiliser_SourceData.Fertiliser_ChemicalCompoundElements_Data(),Table_Fertiliser_ChemicalCompounds[[#Headers],[Fertiliser type f]], 0)</f>
        <v>Nitrogen - Ammoniacal</v>
      </c>
      <c r="E27" s="192" cm="1">
        <f t="array" ref="E27">Common_InputFunctions.Utility_DisplayArrayInTable(Fertiliser_SourceData.Fertiliser_ChemicalCompoundElements_Data(),Table_Fertiliser_ChemicalCompounds[[#Headers],[Fertiliser type f]], 0)</f>
        <v>1</v>
      </c>
      <c r="F27" s="192" cm="1">
        <f t="array" ref="F27">Common_InputFunctions.Utility_DisplayArrayInTable(Fertiliser_SourceData.Fertiliser_ChemicalCompoundElements_Data(),Table_Fertiliser_ChemicalCompounds[[#Headers],[Fertiliser type f]], 0)</f>
        <v>0</v>
      </c>
      <c r="G27" s="192" t="str" cm="1">
        <f t="array" ref="G27">Common_InputFunctions.Utility_DisplayArrayInTable(Fertiliser_SourceData.Fertiliser_ChemicalCompoundElements_Data(),Table_Fertiliser_ChemicalCompounds[[#Headers],[Fertiliser type f]], 0)</f>
        <v>Ammonium-based fertilisers</v>
      </c>
      <c r="H27" s="192" t="str" cm="1">
        <f t="array" ref="H27">Common_InputFunctions.Utility_DisplayArrayInTable(Fertiliser_SourceData.Fertiliser_ChemicalCompoundElements_Data(),Table_Fertiliser_ChemicalCompounds[[#Headers],[Fertiliser type f]], 0)</f>
        <v>Nitrogen - Ammoniacal</v>
      </c>
      <c r="I27" s="192"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5">
      <c r="D28" s="192" t="str" cm="1">
        <f t="array" ref="D28">Common_InputFunctions.Utility_DisplayArrayInTable(Fertiliser_SourceData.Fertiliser_ChemicalCompoundElements_Data(),Table_Fertiliser_ChemicalCompounds[[#Headers],[Fertiliser type f]], 0)</f>
        <v>Nitrogen - Nitrate</v>
      </c>
      <c r="E28" s="192" cm="1">
        <f t="array" ref="E28">Common_InputFunctions.Utility_DisplayArrayInTable(Fertiliser_SourceData.Fertiliser_ChemicalCompoundElements_Data(),Table_Fertiliser_ChemicalCompounds[[#Headers],[Fertiliser type f]], 0)</f>
        <v>1</v>
      </c>
      <c r="F28" s="192" cm="1">
        <f t="array" ref="F28">Common_InputFunctions.Utility_DisplayArrayInTable(Fertiliser_SourceData.Fertiliser_ChemicalCompoundElements_Data(),Table_Fertiliser_ChemicalCompounds[[#Headers],[Fertiliser type f]], 0)</f>
        <v>0</v>
      </c>
      <c r="G28" s="192" t="str" cm="1">
        <f t="array" ref="G28">Common_InputFunctions.Utility_DisplayArrayInTable(Fertiliser_SourceData.Fertiliser_ChemicalCompoundElements_Data(),Table_Fertiliser_ChemicalCompounds[[#Headers],[Fertiliser type f]], 0)</f>
        <v>Nitrate-based fertilisers</v>
      </c>
      <c r="H28" s="192" t="str" cm="1">
        <f t="array" ref="H28">Common_InputFunctions.Utility_DisplayArrayInTable(Fertiliser_SourceData.Fertiliser_ChemicalCompoundElements_Data(),Table_Fertiliser_ChemicalCompounds[[#Headers],[Fertiliser type f]], 0)</f>
        <v>Nitrogen from Nitrate</v>
      </c>
      <c r="I28" s="192"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5">
      <c r="A29" s="6" t="s">
        <v>2</v>
      </c>
      <c r="D29" s="192" t="str" cm="1">
        <f t="array" ref="D29">Common_InputFunctions.Utility_DisplayArrayInTable(Fertiliser_SourceData.Fertiliser_ChemicalCompoundElements_Data(),Table_Fertiliser_ChemicalCompounds[[#Headers],[Fertiliser type f]], 0)</f>
        <v>Nitrogen - Generic</v>
      </c>
      <c r="E29" s="192" cm="1">
        <f t="array" ref="E29">Common_InputFunctions.Utility_DisplayArrayInTable(Fertiliser_SourceData.Fertiliser_ChemicalCompoundElements_Data(),Table_Fertiliser_ChemicalCompounds[[#Headers],[Fertiliser type f]], 0)</f>
        <v>1</v>
      </c>
      <c r="F29" s="192" cm="1">
        <f t="array" ref="F29">Common_InputFunctions.Utility_DisplayArrayInTable(Fertiliser_SourceData.Fertiliser_ChemicalCompoundElements_Data(),Table_Fertiliser_ChemicalCompounds[[#Headers],[Fertiliser type f]], 0)</f>
        <v>0</v>
      </c>
      <c r="G29" s="192" t="str" cm="1">
        <f t="array" ref="G29">Common_InputFunctions.Utility_DisplayArrayInTable(Fertiliser_SourceData.Fertiliser_ChemicalCompoundElements_Data(),Table_Fertiliser_ChemicalCompounds[[#Headers],[Fertiliser type f]], 0)</f>
        <v>Urea-based fertilisers</v>
      </c>
      <c r="H29" s="192" t="str" cm="1">
        <f t="array" ref="H29">Common_InputFunctions.Utility_DisplayArrayInTable(Fertiliser_SourceData.Fertiliser_ChemicalCompoundElements_Data(),Table_Fertiliser_ChemicalCompounds[[#Headers],[Fertiliser type f]], 0)</f>
        <v>Nitrogen from fertiliser</v>
      </c>
      <c r="I29" s="19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HYPERLINK("#'3.3.1.1-2 Enteric Methane'!A1", "3.3.1.1-2 Enteric methane")</f>
        <v>3.3.1.1-2 Enteric methane</v>
      </c>
      <c r="D30" s="192" t="str" cm="1">
        <f t="array" ref="D30">Common_InputFunctions.Utility_DisplayArrayInTable(Fertiliser_SourceData.Fertiliser_ChemicalCompoundElements_Data(),Table_Fertiliser_ChemicalCompounds[[#Headers],[Fertiliser type f]], 0)</f>
        <v>Phosphorus - Generic</v>
      </c>
      <c r="E30" s="192" cm="1">
        <f t="array" ref="E30">Common_InputFunctions.Utility_DisplayArrayInTable(Fertiliser_SourceData.Fertiliser_ChemicalCompoundElements_Data(),Table_Fertiliser_ChemicalCompounds[[#Headers],[Fertiliser type f]], 0)</f>
        <v>0</v>
      </c>
      <c r="F30" s="192" cm="1">
        <f t="array" ref="F30">Common_InputFunctions.Utility_DisplayArrayInTable(Fertiliser_SourceData.Fertiliser_ChemicalCompoundElements_Data(),Table_Fertiliser_ChemicalCompounds[[#Headers],[Fertiliser type f]], 0)</f>
        <v>0</v>
      </c>
      <c r="G30" s="192" t="str" cm="1">
        <f t="array" ref="G30">Common_InputFunctions.Utility_DisplayArrayInTable(Fertiliser_SourceData.Fertiliser_ChemicalCompoundElements_Data(),Table_Fertiliser_ChemicalCompounds[[#Headers],[Fertiliser type f]], 0)</f>
        <v>Other fertilisers</v>
      </c>
      <c r="H30" s="192" t="str" cm="1">
        <f t="array" ref="H30">Common_InputFunctions.Utility_DisplayArrayInTable(Fertiliser_SourceData.Fertiliser_ChemicalCompoundElements_Data(),Table_Fertiliser_ChemicalCompounds[[#Headers],[Fertiliser type f]], 0)</f>
        <v>Phosphorus from fertiliser</v>
      </c>
      <c r="I30" s="19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HYPERLINK("#'4.3.1.1-2 Methane'!A1", "4.3.1.1-2 Manure methane")</f>
        <v>4.3.1.1-2 Manure methane</v>
      </c>
      <c r="D31" s="192" t="str" cm="1">
        <f t="array" ref="D31">Common_InputFunctions.Utility_DisplayArrayInTable(Fertiliser_SourceData.Fertiliser_ChemicalCompoundElements_Data(),Table_Fertiliser_ChemicalCompounds[[#Headers],[Fertiliser type f]], 0)</f>
        <v>Potassium - Generic</v>
      </c>
      <c r="E31" s="192" cm="1">
        <f t="array" ref="E31">Common_InputFunctions.Utility_DisplayArrayInTable(Fertiliser_SourceData.Fertiliser_ChemicalCompoundElements_Data(),Table_Fertiliser_ChemicalCompounds[[#Headers],[Fertiliser type f]], 0)</f>
        <v>0</v>
      </c>
      <c r="F31" s="192" cm="1">
        <f t="array" ref="F31">Common_InputFunctions.Utility_DisplayArrayInTable(Fertiliser_SourceData.Fertiliser_ChemicalCompoundElements_Data(),Table_Fertiliser_ChemicalCompounds[[#Headers],[Fertiliser type f]], 0)</f>
        <v>0</v>
      </c>
      <c r="G31" s="192" t="str" cm="1">
        <f t="array" ref="G31">Common_InputFunctions.Utility_DisplayArrayInTable(Fertiliser_SourceData.Fertiliser_ChemicalCompoundElements_Data(),Table_Fertiliser_ChemicalCompounds[[#Headers],[Fertiliser type f]], 0)</f>
        <v>Other fertilisers</v>
      </c>
      <c r="H31" s="192" t="str" cm="1">
        <f t="array" ref="H31">Common_InputFunctions.Utility_DisplayArrayInTable(Fertiliser_SourceData.Fertiliser_ChemicalCompoundElements_Data(),Table_Fertiliser_ChemicalCompounds[[#Headers],[Fertiliser type f]], 0)</f>
        <v>Potassium from fertiliser</v>
      </c>
      <c r="I31" s="19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HYPERLINK("#'4.3.1.3-4 Direct N20'!A1", "4.3.1.3-4 Direct N20")</f>
        <v>4.3.1.3-4 Direct N20</v>
      </c>
      <c r="D32" s="192" t="str" cm="1">
        <f t="array" ref="D32">Common_InputFunctions.Utility_DisplayArrayInTable(Fertiliser_SourceData.Fertiliser_ChemicalCompoundElements_Data(),Table_Fertiliser_ChemicalCompounds[[#Headers],[Fertiliser type f]], 0)</f>
        <v>Sulfur - Generic</v>
      </c>
      <c r="E32" s="192" cm="1">
        <f t="array" ref="E32">Common_InputFunctions.Utility_DisplayArrayInTable(Fertiliser_SourceData.Fertiliser_ChemicalCompoundElements_Data(),Table_Fertiliser_ChemicalCompounds[[#Headers],[Fertiliser type f]], 0)</f>
        <v>0</v>
      </c>
      <c r="F32" s="192" cm="1">
        <f t="array" ref="F32">Common_InputFunctions.Utility_DisplayArrayInTable(Fertiliser_SourceData.Fertiliser_ChemicalCompoundElements_Data(),Table_Fertiliser_ChemicalCompounds[[#Headers],[Fertiliser type f]], 0)</f>
        <v>0</v>
      </c>
      <c r="G32" s="192" t="str" cm="1">
        <f t="array" ref="G32">Common_InputFunctions.Utility_DisplayArrayInTable(Fertiliser_SourceData.Fertiliser_ChemicalCompoundElements_Data(),Table_Fertiliser_ChemicalCompounds[[#Headers],[Fertiliser type f]], 0)</f>
        <v>Other fertilisers</v>
      </c>
      <c r="H32" s="192" t="str" cm="1">
        <f t="array" ref="H32">Common_InputFunctions.Utility_DisplayArrayInTable(Fertiliser_SourceData.Fertiliser_ChemicalCompoundElements_Data(),Table_Fertiliser_ChemicalCompounds[[#Headers],[Fertiliser type f]], 0)</f>
        <v>Sulfur from fertiliser</v>
      </c>
      <c r="I32" s="19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HYPERLINK("#'4.3.1.5 Atmos deposition'!A1", "4.3.1.5 Atmos deposition")</f>
        <v>4.3.1.5 Atmos deposition</v>
      </c>
      <c r="D33" s="192" t="str" cm="1">
        <f t="array" ref="D33">Common_InputFunctions.Utility_DisplayArrayInTable(Fertiliser_SourceData.Fertiliser_ChemicalCompoundElements_Data(),Table_Fertiliser_ChemicalCompounds[[#Headers],[Fertiliser type f]], 0)</f>
        <v>Zinc - Generic</v>
      </c>
      <c r="E33" s="192" cm="1">
        <f t="array" ref="E33">Common_InputFunctions.Utility_DisplayArrayInTable(Fertiliser_SourceData.Fertiliser_ChemicalCompoundElements_Data(),Table_Fertiliser_ChemicalCompounds[[#Headers],[Fertiliser type f]], 0)</f>
        <v>0</v>
      </c>
      <c r="F33" s="192" cm="1">
        <f t="array" ref="F33">Common_InputFunctions.Utility_DisplayArrayInTable(Fertiliser_SourceData.Fertiliser_ChemicalCompoundElements_Data(),Table_Fertiliser_ChemicalCompounds[[#Headers],[Fertiliser type f]], 0)</f>
        <v>0</v>
      </c>
      <c r="G33" s="192" t="str" cm="1">
        <f t="array" ref="G33">Common_InputFunctions.Utility_DisplayArrayInTable(Fertiliser_SourceData.Fertiliser_ChemicalCompoundElements_Data(),Table_Fertiliser_ChemicalCompounds[[#Headers],[Fertiliser type f]], 0)</f>
        <v>Other fertilisers</v>
      </c>
      <c r="H33" s="192" t="str" cm="1">
        <f t="array" ref="H33">Common_InputFunctions.Utility_DisplayArrayInTable(Fertiliser_SourceData.Fertiliser_ChemicalCompoundElements_Data(),Table_Fertiliser_ChemicalCompounds[[#Headers],[Fertiliser type f]], 0)</f>
        <v>Zinc from fertiliser</v>
      </c>
      <c r="I33" s="19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HYPERLINK("#'4.3.1.6-7 Leaching and runoff'!A1", "4.3.1.6-7 Leaching &amp; runoff")</f>
        <v>4.3.1.6-7 Leaching &amp; runoff</v>
      </c>
      <c r="D34" s="192" t="str" cm="1">
        <f t="array" ref="D34">Common_InputFunctions.Utility_DisplayArrayInTable(Fertiliser_SourceData.Fertiliser_ChemicalCompoundElements_Data(),Table_Fertiliser_ChemicalCompounds[[#Headers],[Fertiliser type f]], 0)</f>
        <v>Muriate of potash (MOP)</v>
      </c>
      <c r="E34" s="192" cm="1">
        <f t="array" ref="E34">Common_InputFunctions.Utility_DisplayArrayInTable(Fertiliser_SourceData.Fertiliser_ChemicalCompoundElements_Data(),Table_Fertiliser_ChemicalCompounds[[#Headers],[Fertiliser type f]], 0)</f>
        <v>0</v>
      </c>
      <c r="F34" s="192" cm="1">
        <f t="array" ref="F34">Common_InputFunctions.Utility_DisplayArrayInTable(Fertiliser_SourceData.Fertiliser_ChemicalCompoundElements_Data(),Table_Fertiliser_ChemicalCompounds[[#Headers],[Fertiliser type f]], 0)</f>
        <v>0</v>
      </c>
      <c r="G34" s="192" t="str" cm="1">
        <f t="array" ref="G34">Common_InputFunctions.Utility_DisplayArrayInTable(Fertiliser_SourceData.Fertiliser_ChemicalCompoundElements_Data(),Table_Fertiliser_ChemicalCompounds[[#Headers],[Fertiliser type f]], 0)</f>
        <v>Other fertilisers</v>
      </c>
      <c r="H34" s="192" t="str" cm="1">
        <f t="array" ref="H34">Common_InputFunctions.Utility_DisplayArrayInTable(Fertiliser_SourceData.Fertiliser_ChemicalCompoundElements_Data(),Table_Fertiliser_ChemicalCompounds[[#Headers],[Fertiliser type f]], 0)</f>
        <v>Muriate of potash (MOP)</v>
      </c>
      <c r="I34" s="19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HYPERLINK("#'4.3.1.8 Manure applied to soils'!A1", "4.3.1.8 Manure applied to soils")</f>
        <v>4.3.1.8 Manure applied to soils</v>
      </c>
      <c r="D35" s="192" t="str" cm="1">
        <f t="array" ref="D35">Common_InputFunctions.Utility_DisplayArrayInTable(Fertiliser_SourceData.Fertiliser_ChemicalCompoundElements_Data(),Table_Fertiliser_ChemicalCompounds[[#Headers],[Fertiliser type f]], 0)</f>
        <v>Double superphosphate</v>
      </c>
      <c r="E35" s="192" cm="1">
        <f t="array" ref="E35">Common_InputFunctions.Utility_DisplayArrayInTable(Fertiliser_SourceData.Fertiliser_ChemicalCompoundElements_Data(),Table_Fertiliser_ChemicalCompounds[[#Headers],[Fertiliser type f]], 0)</f>
        <v>0</v>
      </c>
      <c r="F35" s="192" cm="1">
        <f t="array" ref="F35">Common_InputFunctions.Utility_DisplayArrayInTable(Fertiliser_SourceData.Fertiliser_ChemicalCompoundElements_Data(),Table_Fertiliser_ChemicalCompounds[[#Headers],[Fertiliser type f]], 0)</f>
        <v>0</v>
      </c>
      <c r="G35" s="192" t="str" cm="1">
        <f t="array" ref="G35">Common_InputFunctions.Utility_DisplayArrayInTable(Fertiliser_SourceData.Fertiliser_ChemicalCompoundElements_Data(),Table_Fertiliser_ChemicalCompounds[[#Headers],[Fertiliser type f]], 0)</f>
        <v>Other fertilisers</v>
      </c>
      <c r="H35" s="192" t="str" cm="1">
        <f t="array" ref="H35">Common_InputFunctions.Utility_DisplayArrayInTable(Fertiliser_SourceData.Fertiliser_ChemicalCompoundElements_Data(),Table_Fertiliser_ChemicalCompounds[[#Headers],[Fertiliser type f]], 0)</f>
        <v>Double superphosphate</v>
      </c>
      <c r="I35" s="19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HYPERLINK("#'4.3.1.9 Soil direct N2O'!A1", "4.3.1.9 Soil direct N2O")</f>
        <v>4.3.1.9 Soil direct N2O</v>
      </c>
      <c r="D36" s="192" t="str" cm="1">
        <f t="array" ref="D36">Common_InputFunctions.Utility_DisplayArrayInTable(Fertiliser_SourceData.Fertiliser_ChemicalCompoundElements_Data(),Table_Fertiliser_ChemicalCompounds[[#Headers],[Fertiliser type f]], 0)</f>
        <v>Single superphosphate (SSP)</v>
      </c>
      <c r="E36" s="192" cm="1">
        <f t="array" ref="E36">Common_InputFunctions.Utility_DisplayArrayInTable(Fertiliser_SourceData.Fertiliser_ChemicalCompoundElements_Data(),Table_Fertiliser_ChemicalCompounds[[#Headers],[Fertiliser type f]], 0)</f>
        <v>0</v>
      </c>
      <c r="F36" s="192" cm="1">
        <f t="array" ref="F36">Common_InputFunctions.Utility_DisplayArrayInTable(Fertiliser_SourceData.Fertiliser_ChemicalCompoundElements_Data(),Table_Fertiliser_ChemicalCompounds[[#Headers],[Fertiliser type f]], 0)</f>
        <v>0</v>
      </c>
      <c r="G36" s="192" t="str" cm="1">
        <f t="array" ref="G36">Common_InputFunctions.Utility_DisplayArrayInTable(Fertiliser_SourceData.Fertiliser_ChemicalCompoundElements_Data(),Table_Fertiliser_ChemicalCompounds[[#Headers],[Fertiliser type f]], 0)</f>
        <v>Other fertilisers</v>
      </c>
      <c r="H36" s="192" t="str" cm="1">
        <f t="array" ref="H36">Common_InputFunctions.Utility_DisplayArrayInTable(Fertiliser_SourceData.Fertiliser_ChemicalCompoundElements_Data(),Table_Fertiliser_ChemicalCompounds[[#Headers],[Fertiliser type f]], 0)</f>
        <v>Single superphosphate (SSP)</v>
      </c>
      <c r="I36" s="19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HYPERLINK("#'4.3.1.10-11 Soil Atmos Dep'!A1", "4.3.1.10-11 Soil Atmos Deposition")</f>
        <v>4.3.1.10-11 Soil Atmos Deposition</v>
      </c>
      <c r="D37" s="192" t="str" cm="1">
        <f t="array" ref="D37">Common_InputFunctions.Utility_DisplayArrayInTable(Fertiliser_SourceData.Fertiliser_ChemicalCompoundElements_Data(),Table_Fertiliser_ChemicalCompounds[[#Headers],[Fertiliser type f]], 0)</f>
        <v>Ammonia</v>
      </c>
      <c r="E37" s="192" cm="1">
        <f t="array" ref="E37">Common_InputFunctions.Utility_DisplayArrayInTable(Fertiliser_SourceData.Fertiliser_ChemicalCompoundElements_Data(),Table_Fertiliser_ChemicalCompounds[[#Headers],[Fertiliser type f]], 0)</f>
        <v>0.82350000000000001</v>
      </c>
      <c r="F37" s="192" cm="1">
        <f t="array" ref="F37">Common_InputFunctions.Utility_DisplayArrayInTable(Fertiliser_SourceData.Fertiliser_ChemicalCompoundElements_Data(),Table_Fertiliser_ChemicalCompounds[[#Headers],[Fertiliser type f]], 0)</f>
        <v>0</v>
      </c>
      <c r="G37" s="192" t="str" cm="1">
        <f t="array" ref="G37">Common_InputFunctions.Utility_DisplayArrayInTable(Fertiliser_SourceData.Fertiliser_ChemicalCompoundElements_Data(),Table_Fertiliser_ChemicalCompounds[[#Headers],[Fertiliser type f]], 0)</f>
        <v>Ammonium-based fertilisers</v>
      </c>
      <c r="H37" s="192" t="str" cm="1">
        <f t="array" ref="H37">Common_InputFunctions.Utility_DisplayArrayInTable(Fertiliser_SourceData.Fertiliser_ChemicalCompoundElements_Data(),Table_Fertiliser_ChemicalCompounds[[#Headers],[Fertiliser type f]], 0)</f>
        <v>Ammonia</v>
      </c>
      <c r="I37" s="19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HYPERLINK("#'4.3.1.12-13 Soil leach runoff'!A1", "4.3.1.12-13 Soil leach &amp; runoff")</f>
        <v>4.3.1.12-13 Soil leach &amp; runoff</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5" t="str">
        <f>HYPERLINK("#'5.1.1.1-2 Inorganic fert N2O'!A1", "5.1.1.1-2 Inorganic fert N2O")</f>
        <v>5.1.1.1-2 Inorganic fert N2O</v>
      </c>
    </row>
    <row r="40" spans="1:10" ht="20.100000000000001" customHeight="1" x14ac:dyDescent="0.25">
      <c r="A40" s="5" t="str">
        <f>HYPERLINK("#'5.1.1.3-4 Inorganic fert CO2'!A1", "5.1.1.3-4 Inorganic fert CO2")</f>
        <v>5.1.1.3-4 Inorganic fert CO2</v>
      </c>
      <c r="D40" s="2" t="s">
        <v>322</v>
      </c>
      <c r="F40" s="2" t="s">
        <v>796</v>
      </c>
      <c r="H40" s="2" t="s">
        <v>578</v>
      </c>
      <c r="J40" s="2" t="s">
        <v>797</v>
      </c>
    </row>
    <row r="41" spans="1:10" ht="20.100000000000001" customHeight="1" x14ac:dyDescent="0.25">
      <c r="A41" s="5" t="str">
        <f>HYPERLINK("#'5.2.1.1-2 Organic Fert N2O'!A1", "5.2.1.1-2 Organic fert N2O")</f>
        <v>5.2.1.1-2 Organic fert N2O</v>
      </c>
      <c r="D41" s="19" t="s">
        <v>161</v>
      </c>
      <c r="F41" s="19" t="s">
        <v>161</v>
      </c>
      <c r="H41" s="19" t="s">
        <v>63</v>
      </c>
      <c r="J41" s="19" t="s">
        <v>798</v>
      </c>
    </row>
    <row r="42" spans="1:10" ht="20.100000000000001" customHeight="1" x14ac:dyDescent="0.25">
      <c r="A42" s="5" t="str">
        <f>HYPERLINK("#'5.3.1.1-2 Lime CO2'!A1", "5.3.1.1-2 Lime CO2")</f>
        <v>5.3.1.1-2 Lime CO2</v>
      </c>
      <c r="D42" s="19" t="s">
        <v>164</v>
      </c>
      <c r="F42" s="19" t="s">
        <v>164</v>
      </c>
      <c r="H42" s="19" t="s">
        <v>583</v>
      </c>
      <c r="J42" s="19" t="s">
        <v>799</v>
      </c>
    </row>
    <row r="43" spans="1:10" ht="20.100000000000001" customHeight="1" x14ac:dyDescent="0.25">
      <c r="A43" s="5" t="str">
        <f>HYPERLINK("#'5.4.1.1-4 Atmos deposition'!A1", "5.4.1.1-4 Atmos. deposition")</f>
        <v>5.4.1.1-4 Atmos. deposition</v>
      </c>
      <c r="D43" s="1" t="s">
        <v>800</v>
      </c>
      <c r="F43" s="1" t="s">
        <v>801</v>
      </c>
      <c r="H43" s="19" t="s">
        <v>584</v>
      </c>
      <c r="J43" s="1" t="s">
        <v>695</v>
      </c>
    </row>
    <row r="44" spans="1:10" ht="20.100000000000001" customHeight="1" x14ac:dyDescent="0.25">
      <c r="A44" s="5" t="str">
        <f>HYPERLINK("#'5.5.1.1-2 Leaching and runoff'!A1", "5.5.1.1-2 Leaching &amp; runoff")</f>
        <v>5.5.1.1-2 Leaching &amp; runoff</v>
      </c>
      <c r="F44" s="1" t="s">
        <v>802</v>
      </c>
      <c r="H44" s="1" t="s">
        <v>341</v>
      </c>
      <c r="J44" s="1" t="s">
        <v>803</v>
      </c>
    </row>
    <row r="45" spans="1:10" ht="20.100000000000001" customHeight="1" x14ac:dyDescent="0.25">
      <c r="A45" s="5" t="str">
        <f>HYPERLINK("#'6.2.1.1-2 Pasture residue N2O'!A1", "6.2.1.1-2 Pasture residue N2O")</f>
        <v>6.2.1.1-2 Pasture residue N2O</v>
      </c>
      <c r="F45" s="1" t="s">
        <v>735</v>
      </c>
      <c r="H45" s="1" t="s">
        <v>585</v>
      </c>
      <c r="J45" s="1" t="s">
        <v>694</v>
      </c>
    </row>
    <row r="46" spans="1:10" ht="20.100000000000001" customHeight="1" x14ac:dyDescent="0.25">
      <c r="A46" s="5" t="str">
        <f>HYPERLINK("#'6.3.1.1-2 Leach runoff pasture'!A1", "6.3.1.1-2 Leach &amp; runoff (pasture)")</f>
        <v>6.3.1.1-2 Leach &amp; runoff (pasture)</v>
      </c>
      <c r="H46" s="1" t="s">
        <v>586</v>
      </c>
      <c r="J46" s="1" t="s">
        <v>696</v>
      </c>
    </row>
    <row r="47" spans="1:10" ht="20.100000000000001" customHeight="1" x14ac:dyDescent="0.25">
      <c r="A47" s="5" t="str">
        <f>HYPERLINK("#'8.1.1.1-2 Transport fuel'!A1", "8.1.1.1-2 Transport fuel")</f>
        <v>8.1.1.1-2 Transport fuel</v>
      </c>
    </row>
    <row r="48" spans="1:10" ht="20.100000000000001" customHeight="1" x14ac:dyDescent="0.25">
      <c r="A48" s="5" t="str">
        <f>HYPERLINK("#'8.2.1.1-2 Stationary fuel'!A1", "8.2.1.1-2 Stationary fuel")</f>
        <v>8.2.1.1-2 Stationary fuel</v>
      </c>
      <c r="D48" s="2" t="str" cm="1">
        <f t="array" ref="D48">Fertiliser_SourceData.Fertiliser_FracGASF_Title()</f>
        <v>Fraction of inorganic fertiliser that volatilises as NH3 and NOx</v>
      </c>
      <c r="G48" s="184"/>
    </row>
    <row r="49" spans="1:8" ht="20.100000000000001" customHeight="1" x14ac:dyDescent="0.25">
      <c r="A49" s="5" t="str">
        <f>HYPERLINK("#'10.1.1-2 Solid waste treatment'!A1", "10.1.1.1-2 Solid waste")</f>
        <v>10.1.1.1-2 Solid waste</v>
      </c>
      <c r="D49" s="17" t="str" cm="1">
        <f t="array" ref="D49">Fertiliser_SourceData.Fertiliser_FracGASF_Source()</f>
        <v>Table A.2.2.6: Fraction of inorganic fertiliser f that volatilises as NH3 and NOx ((kg NH3-N + NOx-N)/kg N) (FracGASFf)</v>
      </c>
      <c r="G49" s="184"/>
    </row>
    <row r="50" spans="1:8" ht="20.100000000000001" customHeight="1" x14ac:dyDescent="0.25">
      <c r="A50" s="5" t="str">
        <f>HYPERLINK("#'14.1.1-2 Purchased electricity'!A1", "14.1.1-2 Purchased electricity")</f>
        <v>14.1.1-2 Purchased electricity</v>
      </c>
      <c r="D50" s="19" t="s">
        <v>712</v>
      </c>
      <c r="E50" s="19" t="s">
        <v>804</v>
      </c>
      <c r="G50" s="184"/>
    </row>
    <row r="51" spans="1:8" ht="20.100000000000001" customHeight="1" x14ac:dyDescent="0.25">
      <c r="A51" s="5" t="str">
        <f>HYPERLINK("#'15 Scope 3'!A1", "15 Scope 3")</f>
        <v>15 Scope 3</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84"/>
    </row>
    <row r="52" spans="1:8" ht="20.100000000000001" customHeight="1" x14ac:dyDescent="0.25">
      <c r="A52" s="5" t="str">
        <f>HYPERLINK("#'Calcs - Manure sent off-site'!A1", "Calcs - Manure sent off-site")</f>
        <v>Calcs - Manure sent off-site</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84"/>
    </row>
    <row r="53" spans="1: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84"/>
    </row>
    <row r="54" spans="1: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84"/>
      <c r="H54" s="184"/>
    </row>
    <row r="55" spans="1:8" ht="20.100000000000001" customHeight="1" x14ac:dyDescent="0.25">
      <c r="A55" s="83" t="s">
        <v>1</v>
      </c>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84"/>
      <c r="H55" s="184"/>
    </row>
    <row r="56" spans="1:8" ht="20.100000000000001" customHeight="1" x14ac:dyDescent="0.25">
      <c r="A56" s="5" t="str">
        <f>HYPERLINK("#'Constants - Dairy'!A1", "Constants - Dairy")</f>
        <v>Constants - Dairy</v>
      </c>
    </row>
    <row r="57" spans="1:8" ht="20.100000000000001" customHeight="1" x14ac:dyDescent="0.25">
      <c r="A57" s="5" t="str">
        <f>HYPERLINK("#'Constants - Ag Residue'!A1", "Constants - Ag residue")</f>
        <v>Constants - Ag residue</v>
      </c>
    </row>
    <row r="58" spans="1:8" ht="20.100000000000001" customHeight="1" x14ac:dyDescent="0.25">
      <c r="A58" s="5" t="str">
        <f>HYPERLINK("#'Constants - Common Livestock'!A1", "Constants - Common Livestock")</f>
        <v>Constants - Common Livestock</v>
      </c>
      <c r="D58" s="2" t="str" cm="1">
        <f t="array" ref="D58">Fertiliser_SourceData.Fertiliser_EFUreaCO2_Title()</f>
        <v>Emission factor for carbon emissions from urea application</v>
      </c>
    </row>
    <row r="59" spans="1:8" ht="20.100000000000001" customHeight="1" x14ac:dyDescent="0.25">
      <c r="A59" s="5" t="str">
        <f>HYPERLINK("#'Constants - Electricity'!A1", "Constants - Electricity")</f>
        <v>Constants - Electricity</v>
      </c>
      <c r="D59" s="17" t="str" cm="1">
        <f t="array" ref="D59">Fertiliser_SourceData.Fertiliser_EFUreaCO2_Source()</f>
        <v>VEERG 2026: 5.1.2.2 Constant Parameters</v>
      </c>
    </row>
    <row r="60" spans="1:8" ht="20.100000000000001" customHeight="1" x14ac:dyDescent="0.25">
      <c r="A60" s="84" t="str">
        <f>HYPERLINK("#'Constants - Fertiliser'!A1", "Constants - Fertiliser")</f>
        <v>Constants - Fertiliser</v>
      </c>
      <c r="D60" s="76"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1" spans="1:8" ht="20.100000000000001" customHeight="1" x14ac:dyDescent="0.25">
      <c r="A61" s="5" t="str">
        <f>HYPERLINK("#'Constants - Fuel'!A1", "Constants - Fuel")</f>
        <v>Constants - Fuel</v>
      </c>
    </row>
    <row r="62" spans="1:8" ht="20.100000000000001" customHeight="1" x14ac:dyDescent="0.25">
      <c r="A62" s="5" t="str">
        <f>HYPERLINK("#'Constants - Scope 3'!A1", "Constants - Scope 3")</f>
        <v>Constants - Scope 3</v>
      </c>
    </row>
    <row r="63" spans="1:8" ht="20.100000000000001" customHeight="1" x14ac:dyDescent="0.25">
      <c r="A63" s="5" t="str">
        <f>HYPERLINK("#'Constants - Common'!A1", "Constants - Common")</f>
        <v>Constants - Common</v>
      </c>
      <c r="D63" s="2" t="str" cm="1">
        <f t="array" ref="D63">Fertiliser_SourceData.Fertiliser_LimeDolomiteGypsumConstants_Title()</f>
        <v>Constants for lime, dolomite and gypsum</v>
      </c>
    </row>
    <row r="64" spans="1:8" ht="20.100000000000001" customHeight="1" x14ac:dyDescent="0.25">
      <c r="A64" s="5" t="str">
        <f>HYPERLINK("#'Constants - Solid Waste'!A1", "Constants - Solid Waste")</f>
        <v>Constants - Solid Waste</v>
      </c>
      <c r="D64" s="17" t="str" cm="1">
        <f t="array" ref="D64">Fertiliser_SourceData.Fertiliser_LimeDolomiteGypsumConstants_Source()</f>
        <v>VEERG 2026: 5.3.2.3 Constant Parameters</v>
      </c>
    </row>
    <row r="65" spans="1:6" ht="20.100000000000001" customHeight="1" x14ac:dyDescent="0.25">
      <c r="A65" s="5" t="str">
        <f>HYPERLINK("#'Acknowledgements'!A1", "Acknowledgements")</f>
        <v>Acknowledgements</v>
      </c>
      <c r="D65" s="19" t="s">
        <v>756</v>
      </c>
      <c r="E65" s="19" t="s">
        <v>805</v>
      </c>
      <c r="F65" s="19" t="s">
        <v>732</v>
      </c>
    </row>
    <row r="66" spans="1:6" ht="20.100000000000001" customHeight="1" x14ac:dyDescent="0.25">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69" spans="1:6" ht="20.100000000000001" customHeight="1" x14ac:dyDescent="0.25"/>
    <row r="70" spans="1:6" ht="20.100000000000001" customHeight="1" x14ac:dyDescent="0.25"/>
    <row r="71" spans="1:6" ht="20.100000000000001" customHeight="1" x14ac:dyDescent="0.25">
      <c r="D71" s="2" t="str" cm="1">
        <f t="array" ref="D71">Fertiliser_SourceData.Fertiliser_FracGASMSoil_Title()</f>
        <v>Fraction of organic fertiliser that volatilises as NH3 and NOx</v>
      </c>
    </row>
    <row r="72" spans="1:6" ht="20.100000000000001" customHeight="1" x14ac:dyDescent="0.25">
      <c r="D72" s="17" t="str" cm="1">
        <f t="array" ref="D72">Fertiliser_SourceData.Fertiliser_FracGASMSoil_Source()</f>
        <v>VEERG 2026: 5.4.2.3 Constant Parameters</v>
      </c>
    </row>
    <row r="73" spans="1:6" ht="20.100000000000001" customHeight="1" x14ac:dyDescent="0.25">
      <c r="D73" s="76"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4" spans="1:6" ht="20.100000000000001" customHeight="1" x14ac:dyDescent="0.25"/>
    <row r="75" spans="1:6" ht="20.100000000000001" customHeight="1" x14ac:dyDescent="0.25"/>
    <row r="76" spans="1:6" ht="20.100000000000001" customHeight="1" x14ac:dyDescent="0.25">
      <c r="D76" s="2" t="str" cm="1">
        <f t="array" ref="D76">Fertiliser_SourceData.Fertiliser_FracLEACH_Title()</f>
        <v>Fraction of nitrogen that is lost through leaching and runoff</v>
      </c>
    </row>
    <row r="77" spans="1:6" ht="20.100000000000001" customHeight="1" x14ac:dyDescent="0.25">
      <c r="D77" s="17" t="str" cm="1">
        <f t="array" ref="D77">Fertiliser_SourceData.Fertiliser_FracLEACH_Source()</f>
        <v>VEERG 2026: 5.5.2.3 Constant Parameters</v>
      </c>
    </row>
    <row r="78" spans="1:6" ht="20.100000000000001" customHeight="1" x14ac:dyDescent="0.25">
      <c r="D78" s="76"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79" spans="1:6" ht="20.100000000000001" customHeight="1" x14ac:dyDescent="0.25"/>
    <row r="80" spans="1:6" ht="20.100000000000001" customHeight="1" x14ac:dyDescent="0.25"/>
    <row r="81" spans="4:39" ht="20.100000000000001" customHeight="1" x14ac:dyDescent="0.25">
      <c r="D81" s="2" t="str" cm="1">
        <f t="array" ref="D81">Fertiliser_SourceData.Fertiliser_EFLeach_Title()</f>
        <v>Emission factor for nitrogen leaching and runoff</v>
      </c>
    </row>
    <row r="82" spans="4:39" ht="20.100000000000001" customHeight="1" x14ac:dyDescent="0.25">
      <c r="D82" s="17" t="str" cm="1">
        <f t="array" ref="D82">Fertiliser_SourceData.Fertiliser_EFLeach_Source()</f>
        <v>VEERG 2026: 5.5.2.3 Constant Parameters</v>
      </c>
    </row>
    <row r="83" spans="4:39" ht="20.100000000000001" customHeight="1" x14ac:dyDescent="0.25">
      <c r="D83" s="76"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4" spans="4:39" ht="20.100000000000001" customHeight="1" x14ac:dyDescent="0.25"/>
    <row r="85" spans="4:39" ht="20.100000000000001" customHeight="1" x14ac:dyDescent="0.25"/>
    <row r="86" spans="4:39" ht="20.100000000000001" customHeight="1" x14ac:dyDescent="0.25"/>
    <row r="87" spans="4:39" ht="20.100000000000001" customHeight="1" x14ac:dyDescent="0.25">
      <c r="D87" s="2" t="s">
        <v>806</v>
      </c>
      <c r="E87" s="184"/>
      <c r="F87" s="184"/>
      <c r="G87" s="184"/>
      <c r="H87" s="184"/>
      <c r="I87" s="184"/>
      <c r="J87" s="184"/>
      <c r="K87" s="184"/>
      <c r="L87" s="184"/>
      <c r="N87" s="184"/>
      <c r="O87" s="184"/>
      <c r="P87" s="184"/>
      <c r="Q87" s="184"/>
      <c r="R87" s="184"/>
      <c r="S87" s="184"/>
      <c r="T87" s="184"/>
      <c r="U87" s="184"/>
    </row>
    <row r="88" spans="4:39" ht="20.100000000000001" customHeight="1" x14ac:dyDescent="0.25">
      <c r="D88" s="184"/>
    </row>
    <row r="89" spans="4:39" ht="20.100000000000001" customHeight="1" x14ac:dyDescent="0.25">
      <c r="D89" s="193" t="s">
        <v>807</v>
      </c>
      <c r="E89" s="19" t="s">
        <v>131</v>
      </c>
      <c r="F89" s="19" t="s">
        <v>118</v>
      </c>
      <c r="G89" s="148" t="s">
        <v>639</v>
      </c>
      <c r="H89" s="148" t="s">
        <v>808</v>
      </c>
      <c r="I89" s="148" t="s">
        <v>656</v>
      </c>
      <c r="J89" s="148" t="s">
        <v>657</v>
      </c>
      <c r="K89" s="148" t="s">
        <v>809</v>
      </c>
      <c r="L89" s="148" t="s">
        <v>810</v>
      </c>
      <c r="M89" s="148" t="s">
        <v>811</v>
      </c>
      <c r="N89" s="148" t="s">
        <v>812</v>
      </c>
      <c r="O89" s="148" t="s">
        <v>641</v>
      </c>
      <c r="P89" s="148" t="s">
        <v>642</v>
      </c>
      <c r="Q89" s="19" t="s">
        <v>643</v>
      </c>
      <c r="R89" s="19" t="s">
        <v>644</v>
      </c>
      <c r="S89" s="19" t="s">
        <v>645</v>
      </c>
      <c r="T89" s="19" t="s">
        <v>646</v>
      </c>
      <c r="U89" s="148" t="s">
        <v>647</v>
      </c>
      <c r="V89" s="148" t="s">
        <v>648</v>
      </c>
      <c r="W89" s="19" t="s">
        <v>649</v>
      </c>
      <c r="X89" s="148" t="s">
        <v>650</v>
      </c>
      <c r="Y89" s="148" t="s">
        <v>651</v>
      </c>
      <c r="Z89" s="148" t="s">
        <v>652</v>
      </c>
      <c r="AA89" s="148" t="s">
        <v>813</v>
      </c>
      <c r="AB89" s="148" t="s">
        <v>814</v>
      </c>
      <c r="AC89" s="19" t="s">
        <v>815</v>
      </c>
      <c r="AD89" s="19" t="s">
        <v>816</v>
      </c>
      <c r="AE89" s="19" t="s">
        <v>817</v>
      </c>
      <c r="AF89" s="19" t="s">
        <v>818</v>
      </c>
      <c r="AG89" s="19" t="s">
        <v>819</v>
      </c>
      <c r="AH89" s="19" t="s">
        <v>820</v>
      </c>
      <c r="AK89" s="1"/>
      <c r="AL89" s="1"/>
      <c r="AM89" s="1"/>
    </row>
    <row r="90" spans="4:39" ht="20.100000000000001" customHeight="1" x14ac:dyDescent="0.25">
      <c r="D90" s="192" t="str" cm="1">
        <f t="array" ref="D90">Common_InputFunctions.Utility_DisplayArrayInTable(Fertiliser_SourceData.Fertiliser_Products_Data1(), FertiliserProducts[[#Headers],[Company]],1)</f>
        <v>Campbells fertilisers Australia</v>
      </c>
      <c r="E90" s="192" t="str" cm="1">
        <f t="array" ref="E90">Common_InputFunctions.Utility_DisplayArrayInTable(Fertiliser_SourceData.Fertiliser_Products_Data1(), FertiliserProducts[[#Headers],[Company]],1)</f>
        <v>Aqua Finish</v>
      </c>
      <c r="F90" s="192" t="str" cm="1">
        <f t="array" ref="F90">Common_InputFunctions.Utility_DisplayArrayInTable(Fertiliser_SourceData.Fertiliser_Products_Data1(), FertiliserProducts[[#Headers],[Company]],1)</f>
        <v>L</v>
      </c>
      <c r="G90" s="192" cm="1">
        <f t="array" ref="G90">Common_InputFunctions.Utility_DisplayArrayInTable(Fertiliser_SourceData.Fertiliser_Products_Data1(), FertiliserProducts[[#Headers],[Company]],1)</f>
        <v>1.26</v>
      </c>
      <c r="H90" s="192" t="str" cm="1">
        <f t="array" ref="H90">Common_InputFunctions.Utility_DisplayArrayInTable(Fertiliser_SourceData.Fertiliser_Products_Data1(), FertiliserProducts[[#Headers],[Company]],1)</f>
        <v/>
      </c>
      <c r="I90" s="192" t="str" cm="1">
        <f t="array" ref="I90">Common_InputFunctions.Utility_DisplayArrayInTable(Fertiliser_SourceData.Fertiliser_Products_Data1(), FertiliserProducts[[#Headers],[Company]],1)</f>
        <v/>
      </c>
      <c r="J90" s="192" t="str" cm="1">
        <f t="array" ref="J90">Common_InputFunctions.Utility_DisplayArrayInTable(Fertiliser_SourceData.Fertiliser_Products_Data1(), FertiliserProducts[[#Headers],[Company]],1)</f>
        <v/>
      </c>
      <c r="K90" s="192" cm="1">
        <f t="array" ref="K90">Common_InputFunctions.Utility_DisplayArrayInTable(Fertiliser_SourceData.Fertiliser_Products_Data1(), FertiliserProducts[[#Headers],[Company]],1)</f>
        <v>2.6</v>
      </c>
      <c r="L90" s="192" cm="1">
        <f t="array" ref="L90">Common_InputFunctions.Utility_DisplayArrayInTable(Fertiliser_SourceData.Fertiliser_Products_Data1(), FertiliserProducts[[#Headers],[Company]],1)</f>
        <v>4</v>
      </c>
      <c r="M90" s="192" cm="1">
        <f t="array" ref="M90">Common_InputFunctions.Utility_DisplayArrayInTable(Fertiliser_SourceData.Fertiliser_Products_Data1(), FertiliserProducts[[#Headers],[Company]],1)</f>
        <v>22.5</v>
      </c>
      <c r="N90" s="192" t="str" cm="1">
        <f t="array" ref="N90">Common_InputFunctions.Utility_DisplayArrayInTable(Fertiliser_SourceData.Fertiliser_Products_Data1(), FertiliserProducts[[#Headers],[Company]],1)</f>
        <v/>
      </c>
      <c r="O90" s="192" t="str" cm="1">
        <f t="array" ref="O90">Common_InputFunctions.Utility_DisplayArrayInTable(Fertiliser_SourceData.Fertiliser_Products_Data1(), FertiliserProducts[[#Headers],[Company]],1)</f>
        <v>Potassium - Generic</v>
      </c>
      <c r="P90" s="192" cm="1">
        <f t="array" ref="P90">Common_InputFunctions.Utility_DisplayArrayInTable(Fertiliser_SourceData.Fertiliser_Products_Data1(), FertiliserProducts[[#Headers],[Company]],1)</f>
        <v>0.22500000000000001</v>
      </c>
      <c r="Q90" s="192" t="str" cm="1">
        <f t="array" ref="Q90">Common_InputFunctions.Utility_DisplayArrayInTable(Fertiliser_SourceData.Fertiliser_Products_Data1(), FertiliserProducts[[#Headers],[Company]],1)</f>
        <v>Phosphorus - Generic</v>
      </c>
      <c r="R90" s="192" cm="1">
        <f t="array" ref="R90">Common_InputFunctions.Utility_DisplayArrayInTable(Fertiliser_SourceData.Fertiliser_Products_Data1(), FertiliserProducts[[#Headers],[Company]],1)</f>
        <v>0.04</v>
      </c>
      <c r="S90" s="192" t="str" cm="1">
        <f t="array" ref="S90">Common_InputFunctions.Utility_DisplayArrayInTable(Fertiliser_SourceData.Fertiliser_Products_Data1(), FertiliserProducts[[#Headers],[Company]],1)</f>
        <v>Nitrogen - Generic</v>
      </c>
      <c r="T90" s="192" cm="1">
        <f t="array" ref="T90">Common_InputFunctions.Utility_DisplayArrayInTable(Fertiliser_SourceData.Fertiliser_Products_Data1(), FertiliserProducts[[#Headers],[Company]],1)</f>
        <v>2.5999999999999999E-2</v>
      </c>
      <c r="U90" s="192" t="str" cm="1">
        <f t="array" ref="U90">Common_InputFunctions.Utility_DisplayArrayInTable(Fertiliser_SourceData.Fertiliser_Products_Data1(), FertiliserProducts[[#Headers],[Company]],1)</f>
        <v/>
      </c>
      <c r="V90" s="192" t="str" cm="1">
        <f t="array" ref="V90">Common_InputFunctions.Utility_DisplayArrayInTable(Fertiliser_SourceData.Fertiliser_Products_Data1(), FertiliserProducts[[#Headers],[Company]],1)</f>
        <v/>
      </c>
      <c r="W90" s="192" t="str" cm="1">
        <f t="array" ref="W90">Common_InputFunctions.Utility_DisplayArrayInTable(Fertiliser_SourceData.Fertiliser_Products_Data1(), FertiliserProducts[[#Headers],[Company]],1)</f>
        <v/>
      </c>
      <c r="X90" s="192" t="str" cm="1">
        <f t="array" ref="X90">Common_InputFunctions.Utility_DisplayArrayInTable(Fertiliser_SourceData.Fertiliser_Products_Data1(), FertiliserProducts[[#Headers],[Company]],1)</f>
        <v/>
      </c>
      <c r="Y90" s="192" t="str" cm="1">
        <f t="array" ref="Y90">Common_InputFunctions.Utility_DisplayArrayInTable(Fertiliser_SourceData.Fertiliser_Products_Data1(), FertiliserProducts[[#Headers],[Company]],1)</f>
        <v/>
      </c>
      <c r="Z90" s="192" t="str" cm="1">
        <f t="array" ref="Z90">Common_InputFunctions.Utility_DisplayArrayInTable(Fertiliser_SourceData.Fertiliser_Products_Data1(), FertiliserProducts[[#Headers],[Company]],1)</f>
        <v/>
      </c>
      <c r="AA90" s="192" t="str" cm="1">
        <f t="array" ref="AA90">Common_InputFunctions.Utility_DisplayArrayInTable(Fertiliser_SourceData.Fertiliser_Products_Data1(), FertiliserProducts[[#Headers],[Company]],1)</f>
        <v/>
      </c>
      <c r="AB90" s="192" t="str" cm="1">
        <f t="array" ref="AB90">Common_InputFunctions.Utility_DisplayArrayInTable(Fertiliser_SourceData.Fertiliser_Products_Data1(), FertiliserProducts[[#Headers],[Company]],1)</f>
        <v/>
      </c>
      <c r="AC90" s="192" t="str" cm="1">
        <f t="array" ref="AC90">Common_InputFunctions.Utility_DisplayArrayInTable(Fertiliser_SourceData.Fertiliser_Products_Data1(), FertiliserProducts[[#Headers],[Company]],1)</f>
        <v/>
      </c>
      <c r="AD90" s="192" t="str" cm="1">
        <f t="array" ref="AD90">Common_InputFunctions.Utility_DisplayArrayInTable(Fertiliser_SourceData.Fertiliser_Products_Data1(), FertiliserProducts[[#Headers],[Company]],1)</f>
        <v/>
      </c>
      <c r="AE90" s="192" t="str" cm="1">
        <f t="array" ref="AE90">Common_InputFunctions.Utility_DisplayArrayInTable(Fertiliser_SourceData.Fertiliser_Products_Data1(), FertiliserProducts[[#Headers],[Company]],1)</f>
        <v/>
      </c>
      <c r="AF90" s="192" t="str" cm="1">
        <f t="array" ref="AF90">Common_InputFunctions.Utility_DisplayArrayInTable(Fertiliser_SourceData.Fertiliser_Products_Data1(), FertiliserProducts[[#Headers],[Company]],1)</f>
        <v/>
      </c>
      <c r="AG90" s="192" t="str" cm="1">
        <f t="array" ref="AG90">Common_InputFunctions.Utility_DisplayArrayInTable(Fertiliser_SourceData.Fertiliser_Products_Data1(), FertiliserProducts[[#Headers],[Company]],1)</f>
        <v/>
      </c>
      <c r="AH90" s="192" t="str" cm="1">
        <f t="array" ref="AH90">Common_InputFunctions.Utility_DisplayArrayInTable(Fertiliser_SourceData.Fertiliser_Products_Data1(), FertiliserProducts[[#Headers],[Company]],1)</f>
        <v/>
      </c>
      <c r="AK90" s="1"/>
      <c r="AL90" s="1"/>
      <c r="AM90" s="1"/>
    </row>
    <row r="91" spans="4:39" ht="20.100000000000001" customHeight="1" x14ac:dyDescent="0.25">
      <c r="D91" s="192" t="str" cm="1">
        <f t="array" ref="D91">Common_InputFunctions.Utility_DisplayArrayInTable(Fertiliser_SourceData.Fertiliser_Products_Data1(), FertiliserProducts[[#Headers],[Company]],1)</f>
        <v>Campbells fertilisers Australia</v>
      </c>
      <c r="E91" s="192" t="str" cm="1">
        <f t="array" ref="E91">Common_InputFunctions.Utility_DisplayArrayInTable(Fertiliser_SourceData.Fertiliser_Products_Data1(), FertiliserProducts[[#Headers],[Company]],1)</f>
        <v>Aqua Grow</v>
      </c>
      <c r="F91" s="192" t="str" cm="1">
        <f t="array" ref="F91">Common_InputFunctions.Utility_DisplayArrayInTable(Fertiliser_SourceData.Fertiliser_Products_Data1(), FertiliserProducts[[#Headers],[Company]],1)</f>
        <v>L</v>
      </c>
      <c r="G91" s="192" cm="1">
        <f t="array" ref="G91">Common_InputFunctions.Utility_DisplayArrayInTable(Fertiliser_SourceData.Fertiliser_Products_Data1(), FertiliserProducts[[#Headers],[Company]],1)</f>
        <v>1.26</v>
      </c>
      <c r="H91" s="192" t="str" cm="1">
        <f t="array" ref="H91">Common_InputFunctions.Utility_DisplayArrayInTable(Fertiliser_SourceData.Fertiliser_Products_Data1(), FertiliserProducts[[#Headers],[Company]],1)</f>
        <v/>
      </c>
      <c r="I91" s="192" t="str" cm="1">
        <f t="array" ref="I91">Common_InputFunctions.Utility_DisplayArrayInTable(Fertiliser_SourceData.Fertiliser_Products_Data1(), FertiliserProducts[[#Headers],[Company]],1)</f>
        <v/>
      </c>
      <c r="J91" s="192" t="str" cm="1">
        <f t="array" ref="J91">Common_InputFunctions.Utility_DisplayArrayInTable(Fertiliser_SourceData.Fertiliser_Products_Data1(), FertiliserProducts[[#Headers],[Company]],1)</f>
        <v/>
      </c>
      <c r="K91" s="192" cm="1">
        <f t="array" ref="K91">Common_InputFunctions.Utility_DisplayArrayInTable(Fertiliser_SourceData.Fertiliser_Products_Data1(), FertiliserProducts[[#Headers],[Company]],1)</f>
        <v>9.6</v>
      </c>
      <c r="L91" s="192" cm="1">
        <f t="array" ref="L91">Common_InputFunctions.Utility_DisplayArrayInTable(Fertiliser_SourceData.Fertiliser_Products_Data1(), FertiliserProducts[[#Headers],[Company]],1)</f>
        <v>5</v>
      </c>
      <c r="M91" s="192" cm="1">
        <f t="array" ref="M91">Common_InputFunctions.Utility_DisplayArrayInTable(Fertiliser_SourceData.Fertiliser_Products_Data1(), FertiliserProducts[[#Headers],[Company]],1)</f>
        <v>10.5</v>
      </c>
      <c r="N91" s="192" t="str" cm="1">
        <f t="array" ref="N91">Common_InputFunctions.Utility_DisplayArrayInTable(Fertiliser_SourceData.Fertiliser_Products_Data1(), FertiliserProducts[[#Headers],[Company]],1)</f>
        <v/>
      </c>
      <c r="O91" s="192" t="str" cm="1">
        <f t="array" ref="O91">Common_InputFunctions.Utility_DisplayArrayInTable(Fertiliser_SourceData.Fertiliser_Products_Data1(), FertiliserProducts[[#Headers],[Company]],1)</f>
        <v>Potassium - Generic</v>
      </c>
      <c r="P91" s="192" cm="1">
        <f t="array" ref="P91">Common_InputFunctions.Utility_DisplayArrayInTable(Fertiliser_SourceData.Fertiliser_Products_Data1(), FertiliserProducts[[#Headers],[Company]],1)</f>
        <v>0.105</v>
      </c>
      <c r="Q91" s="192" t="str" cm="1">
        <f t="array" ref="Q91">Common_InputFunctions.Utility_DisplayArrayInTable(Fertiliser_SourceData.Fertiliser_Products_Data1(), FertiliserProducts[[#Headers],[Company]],1)</f>
        <v>Nitrogen - Generic</v>
      </c>
      <c r="R91" s="192" cm="1">
        <f t="array" ref="R91">Common_InputFunctions.Utility_DisplayArrayInTable(Fertiliser_SourceData.Fertiliser_Products_Data1(), FertiliserProducts[[#Headers],[Company]],1)</f>
        <v>9.6000000000000002E-2</v>
      </c>
      <c r="S91" s="192" t="str" cm="1">
        <f t="array" ref="S91">Common_InputFunctions.Utility_DisplayArrayInTable(Fertiliser_SourceData.Fertiliser_Products_Data1(), FertiliserProducts[[#Headers],[Company]],1)</f>
        <v>Phosphorus - Generic</v>
      </c>
      <c r="T91" s="192" cm="1">
        <f t="array" ref="T91">Common_InputFunctions.Utility_DisplayArrayInTable(Fertiliser_SourceData.Fertiliser_Products_Data1(), FertiliserProducts[[#Headers],[Company]],1)</f>
        <v>0.05</v>
      </c>
      <c r="U91" s="192" t="str" cm="1">
        <f t="array" ref="U91">Common_InputFunctions.Utility_DisplayArrayInTable(Fertiliser_SourceData.Fertiliser_Products_Data1(), FertiliserProducts[[#Headers],[Company]],1)</f>
        <v/>
      </c>
      <c r="V91" s="192" t="str" cm="1">
        <f t="array" ref="V91">Common_InputFunctions.Utility_DisplayArrayInTable(Fertiliser_SourceData.Fertiliser_Products_Data1(), FertiliserProducts[[#Headers],[Company]],1)</f>
        <v/>
      </c>
      <c r="W91" s="192" t="str" cm="1">
        <f t="array" ref="W91">Common_InputFunctions.Utility_DisplayArrayInTable(Fertiliser_SourceData.Fertiliser_Products_Data1(), FertiliserProducts[[#Headers],[Company]],1)</f>
        <v/>
      </c>
      <c r="X91" s="192" t="str" cm="1">
        <f t="array" ref="X91">Common_InputFunctions.Utility_DisplayArrayInTable(Fertiliser_SourceData.Fertiliser_Products_Data1(), FertiliserProducts[[#Headers],[Company]],1)</f>
        <v/>
      </c>
      <c r="Y91" s="192" t="str" cm="1">
        <f t="array" ref="Y91">Common_InputFunctions.Utility_DisplayArrayInTable(Fertiliser_SourceData.Fertiliser_Products_Data1(), FertiliserProducts[[#Headers],[Company]],1)</f>
        <v/>
      </c>
      <c r="Z91" s="192" t="str" cm="1">
        <f t="array" ref="Z91">Common_InputFunctions.Utility_DisplayArrayInTable(Fertiliser_SourceData.Fertiliser_Products_Data1(), FertiliserProducts[[#Headers],[Company]],1)</f>
        <v/>
      </c>
      <c r="AA91" s="192" t="str" cm="1">
        <f t="array" ref="AA91">Common_InputFunctions.Utility_DisplayArrayInTable(Fertiliser_SourceData.Fertiliser_Products_Data1(), FertiliserProducts[[#Headers],[Company]],1)</f>
        <v/>
      </c>
      <c r="AB91" s="192" t="str" cm="1">
        <f t="array" ref="AB91">Common_InputFunctions.Utility_DisplayArrayInTable(Fertiliser_SourceData.Fertiliser_Products_Data1(), FertiliserProducts[[#Headers],[Company]],1)</f>
        <v/>
      </c>
      <c r="AC91" s="192" t="str" cm="1">
        <f t="array" ref="AC91">Common_InputFunctions.Utility_DisplayArrayInTable(Fertiliser_SourceData.Fertiliser_Products_Data1(), FertiliserProducts[[#Headers],[Company]],1)</f>
        <v/>
      </c>
      <c r="AD91" s="192" t="str" cm="1">
        <f t="array" ref="AD91">Common_InputFunctions.Utility_DisplayArrayInTable(Fertiliser_SourceData.Fertiliser_Products_Data1(), FertiliserProducts[[#Headers],[Company]],1)</f>
        <v/>
      </c>
      <c r="AE91" s="192" t="str" cm="1">
        <f t="array" ref="AE91">Common_InputFunctions.Utility_DisplayArrayInTable(Fertiliser_SourceData.Fertiliser_Products_Data1(), FertiliserProducts[[#Headers],[Company]],1)</f>
        <v/>
      </c>
      <c r="AF91" s="192" t="str" cm="1">
        <f t="array" ref="AF91">Common_InputFunctions.Utility_DisplayArrayInTable(Fertiliser_SourceData.Fertiliser_Products_Data1(), FertiliserProducts[[#Headers],[Company]],1)</f>
        <v/>
      </c>
      <c r="AG91" s="192" t="str" cm="1">
        <f t="array" ref="AG91">Common_InputFunctions.Utility_DisplayArrayInTable(Fertiliser_SourceData.Fertiliser_Products_Data1(), FertiliserProducts[[#Headers],[Company]],1)</f>
        <v/>
      </c>
      <c r="AH91" s="192" t="str" cm="1">
        <f t="array" ref="AH91">Common_InputFunctions.Utility_DisplayArrayInTable(Fertiliser_SourceData.Fertiliser_Products_Data1(), FertiliserProducts[[#Headers],[Company]],1)</f>
        <v/>
      </c>
      <c r="AK91" s="1"/>
      <c r="AL91" s="1"/>
      <c r="AM91" s="1"/>
    </row>
    <row r="92" spans="4:39" ht="20.100000000000001" customHeight="1" x14ac:dyDescent="0.25">
      <c r="D92" s="192" t="str" cm="1">
        <f t="array" ref="D92">Common_InputFunctions.Utility_DisplayArrayInTable(Fertiliser_SourceData.Fertiliser_Products_Data1(), FertiliserProducts[[#Headers],[Company]],1)</f>
        <v>Campbells fertilisers Australia</v>
      </c>
      <c r="E92" s="192" t="str" cm="1">
        <f t="array" ref="E92">Common_InputFunctions.Utility_DisplayArrayInTable(Fertiliser_SourceData.Fertiliser_Products_Data1(), FertiliserProducts[[#Headers],[Company]],1)</f>
        <v>Aqua Nitro AN</v>
      </c>
      <c r="F92" s="192" t="str" cm="1">
        <f t="array" ref="F92">Common_InputFunctions.Utility_DisplayArrayInTable(Fertiliser_SourceData.Fertiliser_Products_Data1(), FertiliserProducts[[#Headers],[Company]],1)</f>
        <v>L</v>
      </c>
      <c r="G92" s="192" cm="1">
        <f t="array" ref="G92">Common_InputFunctions.Utility_DisplayArrayInTable(Fertiliser_SourceData.Fertiliser_Products_Data1(), FertiliserProducts[[#Headers],[Company]],1)</f>
        <v>1.24</v>
      </c>
      <c r="H92" s="192" t="str" cm="1">
        <f t="array" ref="H92">Common_InputFunctions.Utility_DisplayArrayInTable(Fertiliser_SourceData.Fertiliser_Products_Data1(), FertiliserProducts[[#Headers],[Company]],1)</f>
        <v/>
      </c>
      <c r="I92" s="192" t="str" cm="1">
        <f t="array" ref="I92">Common_InputFunctions.Utility_DisplayArrayInTable(Fertiliser_SourceData.Fertiliser_Products_Data1(), FertiliserProducts[[#Headers],[Company]],1)</f>
        <v/>
      </c>
      <c r="J92" s="192" t="str" cm="1">
        <f t="array" ref="J92">Common_InputFunctions.Utility_DisplayArrayInTable(Fertiliser_SourceData.Fertiliser_Products_Data1(), FertiliserProducts[[#Headers],[Company]],1)</f>
        <v/>
      </c>
      <c r="K92" s="192" cm="1">
        <f t="array" ref="K92">Common_InputFunctions.Utility_DisplayArrayInTable(Fertiliser_SourceData.Fertiliser_Products_Data1(), FertiliserProducts[[#Headers],[Company]],1)</f>
        <v>22.3</v>
      </c>
      <c r="L92" s="192" t="str" cm="1">
        <f t="array" ref="L92">Common_InputFunctions.Utility_DisplayArrayInTable(Fertiliser_SourceData.Fertiliser_Products_Data1(), FertiliserProducts[[#Headers],[Company]],1)</f>
        <v/>
      </c>
      <c r="M92" s="192" t="str" cm="1">
        <f t="array" ref="M92">Common_InputFunctions.Utility_DisplayArrayInTable(Fertiliser_SourceData.Fertiliser_Products_Data1(), FertiliserProducts[[#Headers],[Company]],1)</f>
        <v/>
      </c>
      <c r="N92" s="192" t="str" cm="1">
        <f t="array" ref="N92">Common_InputFunctions.Utility_DisplayArrayInTable(Fertiliser_SourceData.Fertiliser_Products_Data1(), FertiliserProducts[[#Headers],[Company]],1)</f>
        <v/>
      </c>
      <c r="O92" s="192" t="str" cm="1">
        <f t="array" ref="O92">Common_InputFunctions.Utility_DisplayArrayInTable(Fertiliser_SourceData.Fertiliser_Products_Data1(), FertiliserProducts[[#Headers],[Company]],1)</f>
        <v>Nitrogen - Ammoniacal</v>
      </c>
      <c r="P92" s="192" cm="1">
        <f t="array" ref="P92">Common_InputFunctions.Utility_DisplayArrayInTable(Fertiliser_SourceData.Fertiliser_Products_Data1(), FertiliserProducts[[#Headers],[Company]],1)</f>
        <v>0.223</v>
      </c>
      <c r="Q92" s="192" t="str" cm="1">
        <f t="array" ref="Q92">Common_InputFunctions.Utility_DisplayArrayInTable(Fertiliser_SourceData.Fertiliser_Products_Data1(), FertiliserProducts[[#Headers],[Company]],1)</f>
        <v/>
      </c>
      <c r="R92" s="192" t="str" cm="1">
        <f t="array" ref="R92">Common_InputFunctions.Utility_DisplayArrayInTable(Fertiliser_SourceData.Fertiliser_Products_Data1(), FertiliserProducts[[#Headers],[Company]],1)</f>
        <v/>
      </c>
      <c r="S92" s="192" t="str" cm="1">
        <f t="array" ref="S92">Common_InputFunctions.Utility_DisplayArrayInTable(Fertiliser_SourceData.Fertiliser_Products_Data1(), FertiliserProducts[[#Headers],[Company]],1)</f>
        <v/>
      </c>
      <c r="T92" s="192" t="str" cm="1">
        <f t="array" ref="T92">Common_InputFunctions.Utility_DisplayArrayInTable(Fertiliser_SourceData.Fertiliser_Products_Data1(), FertiliserProducts[[#Headers],[Company]],1)</f>
        <v/>
      </c>
      <c r="U92" s="192" t="str" cm="1">
        <f t="array" ref="U92">Common_InputFunctions.Utility_DisplayArrayInTable(Fertiliser_SourceData.Fertiliser_Products_Data1(), FertiliserProducts[[#Headers],[Company]],1)</f>
        <v/>
      </c>
      <c r="V92" s="192" t="str" cm="1">
        <f t="array" ref="V92">Common_InputFunctions.Utility_DisplayArrayInTable(Fertiliser_SourceData.Fertiliser_Products_Data1(), FertiliserProducts[[#Headers],[Company]],1)</f>
        <v/>
      </c>
      <c r="W92" s="192" t="str" cm="1">
        <f t="array" ref="W92">Common_InputFunctions.Utility_DisplayArrayInTable(Fertiliser_SourceData.Fertiliser_Products_Data1(), FertiliserProducts[[#Headers],[Company]],1)</f>
        <v/>
      </c>
      <c r="X92" s="192" t="str" cm="1">
        <f t="array" ref="X92">Common_InputFunctions.Utility_DisplayArrayInTable(Fertiliser_SourceData.Fertiliser_Products_Data1(), FertiliserProducts[[#Headers],[Company]],1)</f>
        <v/>
      </c>
      <c r="Y92" s="192" t="str" cm="1">
        <f t="array" ref="Y92">Common_InputFunctions.Utility_DisplayArrayInTable(Fertiliser_SourceData.Fertiliser_Products_Data1(), FertiliserProducts[[#Headers],[Company]],1)</f>
        <v/>
      </c>
      <c r="Z92" s="192" t="str" cm="1">
        <f t="array" ref="Z92">Common_InputFunctions.Utility_DisplayArrayInTable(Fertiliser_SourceData.Fertiliser_Products_Data1(), FertiliserProducts[[#Headers],[Company]],1)</f>
        <v/>
      </c>
      <c r="AA92" s="192" t="str" cm="1">
        <f t="array" ref="AA92">Common_InputFunctions.Utility_DisplayArrayInTable(Fertiliser_SourceData.Fertiliser_Products_Data1(), FertiliserProducts[[#Headers],[Company]],1)</f>
        <v/>
      </c>
      <c r="AB92" s="192" t="str" cm="1">
        <f t="array" ref="AB92">Common_InputFunctions.Utility_DisplayArrayInTable(Fertiliser_SourceData.Fertiliser_Products_Data1(), FertiliserProducts[[#Headers],[Company]],1)</f>
        <v/>
      </c>
      <c r="AC92" s="192" t="str" cm="1">
        <f t="array" ref="AC92">Common_InputFunctions.Utility_DisplayArrayInTable(Fertiliser_SourceData.Fertiliser_Products_Data1(), FertiliserProducts[[#Headers],[Company]],1)</f>
        <v/>
      </c>
      <c r="AD92" s="192" t="str" cm="1">
        <f t="array" ref="AD92">Common_InputFunctions.Utility_DisplayArrayInTable(Fertiliser_SourceData.Fertiliser_Products_Data1(), FertiliserProducts[[#Headers],[Company]],1)</f>
        <v/>
      </c>
      <c r="AE92" s="192" t="str" cm="1">
        <f t="array" ref="AE92">Common_InputFunctions.Utility_DisplayArrayInTable(Fertiliser_SourceData.Fertiliser_Products_Data1(), FertiliserProducts[[#Headers],[Company]],1)</f>
        <v/>
      </c>
      <c r="AF92" s="192" t="str" cm="1">
        <f t="array" ref="AF92">Common_InputFunctions.Utility_DisplayArrayInTable(Fertiliser_SourceData.Fertiliser_Products_Data1(), FertiliserProducts[[#Headers],[Company]],1)</f>
        <v/>
      </c>
      <c r="AG92" s="192" t="str" cm="1">
        <f t="array" ref="AG92">Common_InputFunctions.Utility_DisplayArrayInTable(Fertiliser_SourceData.Fertiliser_Products_Data1(), FertiliserProducts[[#Headers],[Company]],1)</f>
        <v/>
      </c>
      <c r="AH92" s="192" t="str" cm="1">
        <f t="array" ref="AH92">Common_InputFunctions.Utility_DisplayArrayInTable(Fertiliser_SourceData.Fertiliser_Products_Data1(), FertiliserProducts[[#Headers],[Company]],1)</f>
        <v/>
      </c>
      <c r="AK92" s="1"/>
      <c r="AL92" s="1"/>
      <c r="AM92" s="1"/>
    </row>
    <row r="93" spans="4:39" ht="20.100000000000001" customHeight="1" x14ac:dyDescent="0.25">
      <c r="D93" s="192" t="str" cm="1">
        <f t="array" ref="D93">Common_InputFunctions.Utility_DisplayArrayInTable(Fertiliser_SourceData.Fertiliser_Products_Data1(), FertiliserProducts[[#Headers],[Company]],1)</f>
        <v>Campbells fertilisers Australia</v>
      </c>
      <c r="E93" s="192" t="str" cm="1">
        <f t="array" ref="E93">Common_InputFunctions.Utility_DisplayArrayInTable(Fertiliser_SourceData.Fertiliser_Products_Data1(), FertiliserProducts[[#Headers],[Company]],1)</f>
        <v>Aqua NitroCal</v>
      </c>
      <c r="F93" s="192" t="str" cm="1">
        <f t="array" ref="F93">Common_InputFunctions.Utility_DisplayArrayInTable(Fertiliser_SourceData.Fertiliser_Products_Data1(), FertiliserProducts[[#Headers],[Company]],1)</f>
        <v>L</v>
      </c>
      <c r="G93" s="192" cm="1">
        <f t="array" ref="G93">Common_InputFunctions.Utility_DisplayArrayInTable(Fertiliser_SourceData.Fertiliser_Products_Data1(), FertiliserProducts[[#Headers],[Company]],1)</f>
        <v>1.5</v>
      </c>
      <c r="H93" s="192" t="str" cm="1">
        <f t="array" ref="H93">Common_InputFunctions.Utility_DisplayArrayInTable(Fertiliser_SourceData.Fertiliser_Products_Data1(), FertiliserProducts[[#Headers],[Company]],1)</f>
        <v/>
      </c>
      <c r="I93" s="192" t="str" cm="1">
        <f t="array" ref="I93">Common_InputFunctions.Utility_DisplayArrayInTable(Fertiliser_SourceData.Fertiliser_Products_Data1(), FertiliserProducts[[#Headers],[Company]],1)</f>
        <v/>
      </c>
      <c r="J93" s="192" t="str" cm="1">
        <f t="array" ref="J93">Common_InputFunctions.Utility_DisplayArrayInTable(Fertiliser_SourceData.Fertiliser_Products_Data1(), FertiliserProducts[[#Headers],[Company]],1)</f>
        <v/>
      </c>
      <c r="K93" s="192" cm="1">
        <f t="array" ref="K93">Common_InputFunctions.Utility_DisplayArrayInTable(Fertiliser_SourceData.Fertiliser_Products_Data1(), FertiliserProducts[[#Headers],[Company]],1)</f>
        <v>13.2</v>
      </c>
      <c r="L93" s="192" t="str" cm="1">
        <f t="array" ref="L93">Common_InputFunctions.Utility_DisplayArrayInTable(Fertiliser_SourceData.Fertiliser_Products_Data1(), FertiliserProducts[[#Headers],[Company]],1)</f>
        <v/>
      </c>
      <c r="M93" s="192" t="str" cm="1">
        <f t="array" ref="M93">Common_InputFunctions.Utility_DisplayArrayInTable(Fertiliser_SourceData.Fertiliser_Products_Data1(), FertiliserProducts[[#Headers],[Company]],1)</f>
        <v/>
      </c>
      <c r="N93" s="192" t="str" cm="1">
        <f t="array" ref="N93">Common_InputFunctions.Utility_DisplayArrayInTable(Fertiliser_SourceData.Fertiliser_Products_Data1(), FertiliserProducts[[#Headers],[Company]],1)</f>
        <v/>
      </c>
      <c r="O93" s="192" t="str" cm="1">
        <f t="array" ref="O93">Common_InputFunctions.Utility_DisplayArrayInTable(Fertiliser_SourceData.Fertiliser_Products_Data1(), FertiliserProducts[[#Headers],[Company]],1)</f>
        <v>Calcium</v>
      </c>
      <c r="P93" s="192" cm="1">
        <f t="array" ref="P93">Common_InputFunctions.Utility_DisplayArrayInTable(Fertiliser_SourceData.Fertiliser_Products_Data1(), FertiliserProducts[[#Headers],[Company]],1)</f>
        <v>0.16200000000000001</v>
      </c>
      <c r="Q93" s="192" t="str" cm="1">
        <f t="array" ref="Q93">Common_InputFunctions.Utility_DisplayArrayInTable(Fertiliser_SourceData.Fertiliser_Products_Data1(), FertiliserProducts[[#Headers],[Company]],1)</f>
        <v>Nitrogen - Nitrate</v>
      </c>
      <c r="R93" s="192" cm="1">
        <f t="array" ref="R93">Common_InputFunctions.Utility_DisplayArrayInTable(Fertiliser_SourceData.Fertiliser_Products_Data1(), FertiliserProducts[[#Headers],[Company]],1)</f>
        <v>0.13200000000000001</v>
      </c>
      <c r="S93" s="192" t="str" cm="1">
        <f t="array" ref="S93">Common_InputFunctions.Utility_DisplayArrayInTable(Fertiliser_SourceData.Fertiliser_Products_Data1(), FertiliserProducts[[#Headers],[Company]],1)</f>
        <v/>
      </c>
      <c r="T93" s="192" t="str" cm="1">
        <f t="array" ref="T93">Common_InputFunctions.Utility_DisplayArrayInTable(Fertiliser_SourceData.Fertiliser_Products_Data1(), FertiliserProducts[[#Headers],[Company]],1)</f>
        <v/>
      </c>
      <c r="U93" s="192" t="str" cm="1">
        <f t="array" ref="U93">Common_InputFunctions.Utility_DisplayArrayInTable(Fertiliser_SourceData.Fertiliser_Products_Data1(), FertiliserProducts[[#Headers],[Company]],1)</f>
        <v/>
      </c>
      <c r="V93" s="192" t="str" cm="1">
        <f t="array" ref="V93">Common_InputFunctions.Utility_DisplayArrayInTable(Fertiliser_SourceData.Fertiliser_Products_Data1(), FertiliserProducts[[#Headers],[Company]],1)</f>
        <v/>
      </c>
      <c r="W93" s="192" t="str" cm="1">
        <f t="array" ref="W93">Common_InputFunctions.Utility_DisplayArrayInTable(Fertiliser_SourceData.Fertiliser_Products_Data1(), FertiliserProducts[[#Headers],[Company]],1)</f>
        <v/>
      </c>
      <c r="X93" s="192" t="str" cm="1">
        <f t="array" ref="X93">Common_InputFunctions.Utility_DisplayArrayInTable(Fertiliser_SourceData.Fertiliser_Products_Data1(), FertiliserProducts[[#Headers],[Company]],1)</f>
        <v/>
      </c>
      <c r="Y93" s="192" t="str" cm="1">
        <f t="array" ref="Y93">Common_InputFunctions.Utility_DisplayArrayInTable(Fertiliser_SourceData.Fertiliser_Products_Data1(), FertiliserProducts[[#Headers],[Company]],1)</f>
        <v/>
      </c>
      <c r="Z93" s="192" t="str" cm="1">
        <f t="array" ref="Z93">Common_InputFunctions.Utility_DisplayArrayInTable(Fertiliser_SourceData.Fertiliser_Products_Data1(), FertiliserProducts[[#Headers],[Company]],1)</f>
        <v/>
      </c>
      <c r="AA93" s="192" t="str" cm="1">
        <f t="array" ref="AA93">Common_InputFunctions.Utility_DisplayArrayInTable(Fertiliser_SourceData.Fertiliser_Products_Data1(), FertiliserProducts[[#Headers],[Company]],1)</f>
        <v/>
      </c>
      <c r="AB93" s="192" t="str" cm="1">
        <f t="array" ref="AB93">Common_InputFunctions.Utility_DisplayArrayInTable(Fertiliser_SourceData.Fertiliser_Products_Data1(), FertiliserProducts[[#Headers],[Company]],1)</f>
        <v/>
      </c>
      <c r="AC93" s="192" t="str" cm="1">
        <f t="array" ref="AC93">Common_InputFunctions.Utility_DisplayArrayInTable(Fertiliser_SourceData.Fertiliser_Products_Data1(), FertiliserProducts[[#Headers],[Company]],1)</f>
        <v/>
      </c>
      <c r="AD93" s="192" t="str" cm="1">
        <f t="array" ref="AD93">Common_InputFunctions.Utility_DisplayArrayInTable(Fertiliser_SourceData.Fertiliser_Products_Data1(), FertiliserProducts[[#Headers],[Company]],1)</f>
        <v/>
      </c>
      <c r="AE93" s="192" t="str" cm="1">
        <f t="array" ref="AE93">Common_InputFunctions.Utility_DisplayArrayInTable(Fertiliser_SourceData.Fertiliser_Products_Data1(), FertiliserProducts[[#Headers],[Company]],1)</f>
        <v/>
      </c>
      <c r="AF93" s="192" t="str" cm="1">
        <f t="array" ref="AF93">Common_InputFunctions.Utility_DisplayArrayInTable(Fertiliser_SourceData.Fertiliser_Products_Data1(), FertiliserProducts[[#Headers],[Company]],1)</f>
        <v/>
      </c>
      <c r="AG93" s="192" t="str" cm="1">
        <f t="array" ref="AG93">Common_InputFunctions.Utility_DisplayArrayInTable(Fertiliser_SourceData.Fertiliser_Products_Data1(), FertiliserProducts[[#Headers],[Company]],1)</f>
        <v/>
      </c>
      <c r="AH93" s="192" t="str" cm="1">
        <f t="array" ref="AH93">Common_InputFunctions.Utility_DisplayArrayInTable(Fertiliser_SourceData.Fertiliser_Products_Data1(), FertiliserProducts[[#Headers],[Company]],1)</f>
        <v/>
      </c>
      <c r="AK93" s="1"/>
      <c r="AL93" s="1"/>
      <c r="AM93" s="1"/>
    </row>
    <row r="94" spans="4:39" ht="20.100000000000001" customHeight="1" x14ac:dyDescent="0.25">
      <c r="D94" s="192" t="str" cm="1">
        <f t="array" ref="D94">Common_InputFunctions.Utility_DisplayArrayInTable(Fertiliser_SourceData.Fertiliser_Products_Data1(), FertiliserProducts[[#Headers],[Company]],1)</f>
        <v>Campbells fertilisers Australia</v>
      </c>
      <c r="E94" s="192" t="str" cm="1">
        <f t="array" ref="E94">Common_InputFunctions.Utility_DisplayArrayInTable(Fertiliser_SourceData.Fertiliser_Products_Data1(), FertiliserProducts[[#Headers],[Company]],1)</f>
        <v>Aqua NitroCal (VI)</v>
      </c>
      <c r="F94" s="192" t="str" cm="1">
        <f t="array" ref="F94">Common_InputFunctions.Utility_DisplayArrayInTable(Fertiliser_SourceData.Fertiliser_Products_Data1(), FertiliserProducts[[#Headers],[Company]],1)</f>
        <v>L</v>
      </c>
      <c r="G94" s="192" cm="1">
        <f t="array" ref="G94">Common_InputFunctions.Utility_DisplayArrayInTable(Fertiliser_SourceData.Fertiliser_Products_Data1(), FertiliserProducts[[#Headers],[Company]],1)</f>
        <v>1.5</v>
      </c>
      <c r="H94" s="192" t="str" cm="1">
        <f t="array" ref="H94">Common_InputFunctions.Utility_DisplayArrayInTable(Fertiliser_SourceData.Fertiliser_Products_Data1(), FertiliserProducts[[#Headers],[Company]],1)</f>
        <v/>
      </c>
      <c r="I94" s="192" t="str" cm="1">
        <f t="array" ref="I94">Common_InputFunctions.Utility_DisplayArrayInTable(Fertiliser_SourceData.Fertiliser_Products_Data1(), FertiliserProducts[[#Headers],[Company]],1)</f>
        <v/>
      </c>
      <c r="J94" s="192" t="str" cm="1">
        <f t="array" ref="J94">Common_InputFunctions.Utility_DisplayArrayInTable(Fertiliser_SourceData.Fertiliser_Products_Data1(), FertiliserProducts[[#Headers],[Company]],1)</f>
        <v/>
      </c>
      <c r="K94" s="192" cm="1">
        <f t="array" ref="K94">Common_InputFunctions.Utility_DisplayArrayInTable(Fertiliser_SourceData.Fertiliser_Products_Data1(), FertiliserProducts[[#Headers],[Company]],1)</f>
        <v>13.2</v>
      </c>
      <c r="L94" s="192" t="str" cm="1">
        <f t="array" ref="L94">Common_InputFunctions.Utility_DisplayArrayInTable(Fertiliser_SourceData.Fertiliser_Products_Data1(), FertiliserProducts[[#Headers],[Company]],1)</f>
        <v/>
      </c>
      <c r="M94" s="192" t="str" cm="1">
        <f t="array" ref="M94">Common_InputFunctions.Utility_DisplayArrayInTable(Fertiliser_SourceData.Fertiliser_Products_Data1(), FertiliserProducts[[#Headers],[Company]],1)</f>
        <v/>
      </c>
      <c r="N94" s="192" t="str" cm="1">
        <f t="array" ref="N94">Common_InputFunctions.Utility_DisplayArrayInTable(Fertiliser_SourceData.Fertiliser_Products_Data1(), FertiliserProducts[[#Headers],[Company]],1)</f>
        <v/>
      </c>
      <c r="O94" s="192" t="str" cm="1">
        <f t="array" ref="O94">Common_InputFunctions.Utility_DisplayArrayInTable(Fertiliser_SourceData.Fertiliser_Products_Data1(), FertiliserProducts[[#Headers],[Company]],1)</f>
        <v>Calcium</v>
      </c>
      <c r="P94" s="192" cm="1">
        <f t="array" ref="P94">Common_InputFunctions.Utility_DisplayArrayInTable(Fertiliser_SourceData.Fertiliser_Products_Data1(), FertiliserProducts[[#Headers],[Company]],1)</f>
        <v>0.187</v>
      </c>
      <c r="Q94" s="192" t="str" cm="1">
        <f t="array" ref="Q94">Common_InputFunctions.Utility_DisplayArrayInTable(Fertiliser_SourceData.Fertiliser_Products_Data1(), FertiliserProducts[[#Headers],[Company]],1)</f>
        <v>Nitrogen - Nitrate</v>
      </c>
      <c r="R94" s="192" cm="1">
        <f t="array" ref="R94">Common_InputFunctions.Utility_DisplayArrayInTable(Fertiliser_SourceData.Fertiliser_Products_Data1(), FertiliserProducts[[#Headers],[Company]],1)</f>
        <v>0.13200000000000001</v>
      </c>
      <c r="S94" s="192" t="str" cm="1">
        <f t="array" ref="S94">Common_InputFunctions.Utility_DisplayArrayInTable(Fertiliser_SourceData.Fertiliser_Products_Data1(), FertiliserProducts[[#Headers],[Company]],1)</f>
        <v/>
      </c>
      <c r="T94" s="192" t="str" cm="1">
        <f t="array" ref="T94">Common_InputFunctions.Utility_DisplayArrayInTable(Fertiliser_SourceData.Fertiliser_Products_Data1(), FertiliserProducts[[#Headers],[Company]],1)</f>
        <v/>
      </c>
      <c r="U94" s="192" t="str" cm="1">
        <f t="array" ref="U94">Common_InputFunctions.Utility_DisplayArrayInTable(Fertiliser_SourceData.Fertiliser_Products_Data1(), FertiliserProducts[[#Headers],[Company]],1)</f>
        <v/>
      </c>
      <c r="V94" s="192" t="str" cm="1">
        <f t="array" ref="V94">Common_InputFunctions.Utility_DisplayArrayInTable(Fertiliser_SourceData.Fertiliser_Products_Data1(), FertiliserProducts[[#Headers],[Company]],1)</f>
        <v/>
      </c>
      <c r="W94" s="192" t="str" cm="1">
        <f t="array" ref="W94">Common_InputFunctions.Utility_DisplayArrayInTable(Fertiliser_SourceData.Fertiliser_Products_Data1(), FertiliserProducts[[#Headers],[Company]],1)</f>
        <v/>
      </c>
      <c r="X94" s="192" t="str" cm="1">
        <f t="array" ref="X94">Common_InputFunctions.Utility_DisplayArrayInTable(Fertiliser_SourceData.Fertiliser_Products_Data1(), FertiliserProducts[[#Headers],[Company]],1)</f>
        <v/>
      </c>
      <c r="Y94" s="192" t="str" cm="1">
        <f t="array" ref="Y94">Common_InputFunctions.Utility_DisplayArrayInTable(Fertiliser_SourceData.Fertiliser_Products_Data1(), FertiliserProducts[[#Headers],[Company]],1)</f>
        <v/>
      </c>
      <c r="Z94" s="192" t="str" cm="1">
        <f t="array" ref="Z94">Common_InputFunctions.Utility_DisplayArrayInTable(Fertiliser_SourceData.Fertiliser_Products_Data1(), FertiliserProducts[[#Headers],[Company]],1)</f>
        <v/>
      </c>
      <c r="AA94" s="192" t="str" cm="1">
        <f t="array" ref="AA94">Common_InputFunctions.Utility_DisplayArrayInTable(Fertiliser_SourceData.Fertiliser_Products_Data1(), FertiliserProducts[[#Headers],[Company]],1)</f>
        <v/>
      </c>
      <c r="AB94" s="192" t="str" cm="1">
        <f t="array" ref="AB94">Common_InputFunctions.Utility_DisplayArrayInTable(Fertiliser_SourceData.Fertiliser_Products_Data1(), FertiliserProducts[[#Headers],[Company]],1)</f>
        <v/>
      </c>
      <c r="AC94" s="192" t="str" cm="1">
        <f t="array" ref="AC94">Common_InputFunctions.Utility_DisplayArrayInTable(Fertiliser_SourceData.Fertiliser_Products_Data1(), FertiliserProducts[[#Headers],[Company]],1)</f>
        <v/>
      </c>
      <c r="AD94" s="192" t="str" cm="1">
        <f t="array" ref="AD94">Common_InputFunctions.Utility_DisplayArrayInTable(Fertiliser_SourceData.Fertiliser_Products_Data1(), FertiliserProducts[[#Headers],[Company]],1)</f>
        <v/>
      </c>
      <c r="AE94" s="192" t="str" cm="1">
        <f t="array" ref="AE94">Common_InputFunctions.Utility_DisplayArrayInTable(Fertiliser_SourceData.Fertiliser_Products_Data1(), FertiliserProducts[[#Headers],[Company]],1)</f>
        <v/>
      </c>
      <c r="AF94" s="192" t="str" cm="1">
        <f t="array" ref="AF94">Common_InputFunctions.Utility_DisplayArrayInTable(Fertiliser_SourceData.Fertiliser_Products_Data1(), FertiliserProducts[[#Headers],[Company]],1)</f>
        <v/>
      </c>
      <c r="AG94" s="192" t="str" cm="1">
        <f t="array" ref="AG94">Common_InputFunctions.Utility_DisplayArrayInTable(Fertiliser_SourceData.Fertiliser_Products_Data1(), FertiliserProducts[[#Headers],[Company]],1)</f>
        <v/>
      </c>
      <c r="AH94" s="192" t="str" cm="1">
        <f t="array" ref="AH94">Common_InputFunctions.Utility_DisplayArrayInTable(Fertiliser_SourceData.Fertiliser_Products_Data1(), FertiliserProducts[[#Headers],[Company]],1)</f>
        <v/>
      </c>
      <c r="AK94" s="1"/>
      <c r="AL94" s="1"/>
      <c r="AM94" s="1"/>
    </row>
    <row r="95" spans="4:39" ht="20.100000000000001" customHeight="1" x14ac:dyDescent="0.25">
      <c r="D95" s="192" t="str" cm="1">
        <f t="array" ref="D95">Common_InputFunctions.Utility_DisplayArrayInTable(Fertiliser_SourceData.Fertiliser_Products_Data1(), FertiliserProducts[[#Headers],[Company]],1)</f>
        <v>Campbells fertilisers Australia</v>
      </c>
      <c r="E95" s="192" t="str" cm="1">
        <f t="array" ref="E95">Common_InputFunctions.Utility_DisplayArrayInTable(Fertiliser_SourceData.Fertiliser_Products_Data1(), FertiliserProducts[[#Headers],[Company]],1)</f>
        <v>Aqua NitroCal Ultimate</v>
      </c>
      <c r="F95" s="192" t="str" cm="1">
        <f t="array" ref="F95">Common_InputFunctions.Utility_DisplayArrayInTable(Fertiliser_SourceData.Fertiliser_Products_Data1(), FertiliserProducts[[#Headers],[Company]],1)</f>
        <v>L</v>
      </c>
      <c r="G95" s="192" cm="1">
        <f t="array" ref="G95">Common_InputFunctions.Utility_DisplayArrayInTable(Fertiliser_SourceData.Fertiliser_Products_Data1(), FertiliserProducts[[#Headers],[Company]],1)</f>
        <v>1.5</v>
      </c>
      <c r="H95" s="192" t="str" cm="1">
        <f t="array" ref="H95">Common_InputFunctions.Utility_DisplayArrayInTable(Fertiliser_SourceData.Fertiliser_Products_Data1(), FertiliserProducts[[#Headers],[Company]],1)</f>
        <v/>
      </c>
      <c r="I95" s="192" t="str" cm="1">
        <f t="array" ref="I95">Common_InputFunctions.Utility_DisplayArrayInTable(Fertiliser_SourceData.Fertiliser_Products_Data1(), FertiliserProducts[[#Headers],[Company]],1)</f>
        <v/>
      </c>
      <c r="J95" s="192" t="str" cm="1">
        <f t="array" ref="J95">Common_InputFunctions.Utility_DisplayArrayInTable(Fertiliser_SourceData.Fertiliser_Products_Data1(), FertiliserProducts[[#Headers],[Company]],1)</f>
        <v/>
      </c>
      <c r="K95" s="192" cm="1">
        <f t="array" ref="K95">Common_InputFunctions.Utility_DisplayArrayInTable(Fertiliser_SourceData.Fertiliser_Products_Data1(), FertiliserProducts[[#Headers],[Company]],1)</f>
        <v>13.2</v>
      </c>
      <c r="L95" s="192" t="str" cm="1">
        <f t="array" ref="L95">Common_InputFunctions.Utility_DisplayArrayInTable(Fertiliser_SourceData.Fertiliser_Products_Data1(), FertiliserProducts[[#Headers],[Company]],1)</f>
        <v/>
      </c>
      <c r="M95" s="192" t="str" cm="1">
        <f t="array" ref="M95">Common_InputFunctions.Utility_DisplayArrayInTable(Fertiliser_SourceData.Fertiliser_Products_Data1(), FertiliserProducts[[#Headers],[Company]],1)</f>
        <v/>
      </c>
      <c r="N95" s="192" t="str" cm="1">
        <f t="array" ref="N95">Common_InputFunctions.Utility_DisplayArrayInTable(Fertiliser_SourceData.Fertiliser_Products_Data1(), FertiliserProducts[[#Headers],[Company]],1)</f>
        <v/>
      </c>
      <c r="O95" s="192" t="str" cm="1">
        <f t="array" ref="O95">Common_InputFunctions.Utility_DisplayArrayInTable(Fertiliser_SourceData.Fertiliser_Products_Data1(), FertiliserProducts[[#Headers],[Company]],1)</f>
        <v>Calcium</v>
      </c>
      <c r="P95" s="192" cm="1">
        <f t="array" ref="P95">Common_InputFunctions.Utility_DisplayArrayInTable(Fertiliser_SourceData.Fertiliser_Products_Data1(), FertiliserProducts[[#Headers],[Company]],1)</f>
        <v>0.183</v>
      </c>
      <c r="Q95" s="192" t="str" cm="1">
        <f t="array" ref="Q95">Common_InputFunctions.Utility_DisplayArrayInTable(Fertiliser_SourceData.Fertiliser_Products_Data1(), FertiliserProducts[[#Headers],[Company]],1)</f>
        <v>Nitrogen - Nitrate</v>
      </c>
      <c r="R95" s="192" cm="1">
        <f t="array" ref="R95">Common_InputFunctions.Utility_DisplayArrayInTable(Fertiliser_SourceData.Fertiliser_Products_Data1(), FertiliserProducts[[#Headers],[Company]],1)</f>
        <v>0.13200000000000001</v>
      </c>
      <c r="S95" s="192" t="str" cm="1">
        <f t="array" ref="S95">Common_InputFunctions.Utility_DisplayArrayInTable(Fertiliser_SourceData.Fertiliser_Products_Data1(), FertiliserProducts[[#Headers],[Company]],1)</f>
        <v/>
      </c>
      <c r="T95" s="192" t="str" cm="1">
        <f t="array" ref="T95">Common_InputFunctions.Utility_DisplayArrayInTable(Fertiliser_SourceData.Fertiliser_Products_Data1(), FertiliserProducts[[#Headers],[Company]],1)</f>
        <v/>
      </c>
      <c r="U95" s="192" t="str" cm="1">
        <f t="array" ref="U95">Common_InputFunctions.Utility_DisplayArrayInTable(Fertiliser_SourceData.Fertiliser_Products_Data1(), FertiliserProducts[[#Headers],[Company]],1)</f>
        <v/>
      </c>
      <c r="V95" s="192" t="str" cm="1">
        <f t="array" ref="V95">Common_InputFunctions.Utility_DisplayArrayInTable(Fertiliser_SourceData.Fertiliser_Products_Data1(), FertiliserProducts[[#Headers],[Company]],1)</f>
        <v/>
      </c>
      <c r="W95" s="192" t="str" cm="1">
        <f t="array" ref="W95">Common_InputFunctions.Utility_DisplayArrayInTable(Fertiliser_SourceData.Fertiliser_Products_Data1(), FertiliserProducts[[#Headers],[Company]],1)</f>
        <v/>
      </c>
      <c r="X95" s="192" t="str" cm="1">
        <f t="array" ref="X95">Common_InputFunctions.Utility_DisplayArrayInTable(Fertiliser_SourceData.Fertiliser_Products_Data1(), FertiliserProducts[[#Headers],[Company]],1)</f>
        <v/>
      </c>
      <c r="Y95" s="192" t="str" cm="1">
        <f t="array" ref="Y95">Common_InputFunctions.Utility_DisplayArrayInTable(Fertiliser_SourceData.Fertiliser_Products_Data1(), FertiliserProducts[[#Headers],[Company]],1)</f>
        <v/>
      </c>
      <c r="Z95" s="192" t="str" cm="1">
        <f t="array" ref="Z95">Common_InputFunctions.Utility_DisplayArrayInTable(Fertiliser_SourceData.Fertiliser_Products_Data1(), FertiliserProducts[[#Headers],[Company]],1)</f>
        <v/>
      </c>
      <c r="AA95" s="192" t="str" cm="1">
        <f t="array" ref="AA95">Common_InputFunctions.Utility_DisplayArrayInTable(Fertiliser_SourceData.Fertiliser_Products_Data1(), FertiliserProducts[[#Headers],[Company]],1)</f>
        <v/>
      </c>
      <c r="AB95" s="192" t="str" cm="1">
        <f t="array" ref="AB95">Common_InputFunctions.Utility_DisplayArrayInTable(Fertiliser_SourceData.Fertiliser_Products_Data1(), FertiliserProducts[[#Headers],[Company]],1)</f>
        <v/>
      </c>
      <c r="AC95" s="192" t="str" cm="1">
        <f t="array" ref="AC95">Common_InputFunctions.Utility_DisplayArrayInTable(Fertiliser_SourceData.Fertiliser_Products_Data1(), FertiliserProducts[[#Headers],[Company]],1)</f>
        <v/>
      </c>
      <c r="AD95" s="192" t="str" cm="1">
        <f t="array" ref="AD95">Common_InputFunctions.Utility_DisplayArrayInTable(Fertiliser_SourceData.Fertiliser_Products_Data1(), FertiliserProducts[[#Headers],[Company]],1)</f>
        <v/>
      </c>
      <c r="AE95" s="192" t="str" cm="1">
        <f t="array" ref="AE95">Common_InputFunctions.Utility_DisplayArrayInTable(Fertiliser_SourceData.Fertiliser_Products_Data1(), FertiliserProducts[[#Headers],[Company]],1)</f>
        <v/>
      </c>
      <c r="AF95" s="192" t="str" cm="1">
        <f t="array" ref="AF95">Common_InputFunctions.Utility_DisplayArrayInTable(Fertiliser_SourceData.Fertiliser_Products_Data1(), FertiliserProducts[[#Headers],[Company]],1)</f>
        <v/>
      </c>
      <c r="AG95" s="192" t="str" cm="1">
        <f t="array" ref="AG95">Common_InputFunctions.Utility_DisplayArrayInTable(Fertiliser_SourceData.Fertiliser_Products_Data1(), FertiliserProducts[[#Headers],[Company]],1)</f>
        <v/>
      </c>
      <c r="AH95" s="192" t="str" cm="1">
        <f t="array" ref="AH95">Common_InputFunctions.Utility_DisplayArrayInTable(Fertiliser_SourceData.Fertiliser_Products_Data1(), FertiliserProducts[[#Headers],[Company]],1)</f>
        <v/>
      </c>
      <c r="AK95" s="1"/>
      <c r="AL95" s="1"/>
      <c r="AM95" s="1"/>
    </row>
    <row r="96" spans="4:39" ht="20.100000000000001" customHeight="1" x14ac:dyDescent="0.25">
      <c r="D96" s="192" t="str" cm="1">
        <f t="array" ref="D96">Common_InputFunctions.Utility_DisplayArrayInTable(Fertiliser_SourceData.Fertiliser_Products_Data1(), FertiliserProducts[[#Headers],[Company]],1)</f>
        <v>Campbells fertilisers Australia</v>
      </c>
      <c r="E96" s="192" t="str" cm="1">
        <f t="array" ref="E96">Common_InputFunctions.Utility_DisplayArrayInTable(Fertiliser_SourceData.Fertiliser_Products_Data1(), FertiliserProducts[[#Headers],[Company]],1)</f>
        <v>Aqua Start</v>
      </c>
      <c r="F96" s="192" t="str" cm="1">
        <f t="array" ref="F96">Common_InputFunctions.Utility_DisplayArrayInTable(Fertiliser_SourceData.Fertiliser_Products_Data1(), FertiliserProducts[[#Headers],[Company]],1)</f>
        <v>L</v>
      </c>
      <c r="G96" s="192" cm="1">
        <f t="array" ref="G96">Common_InputFunctions.Utility_DisplayArrayInTable(Fertiliser_SourceData.Fertiliser_Products_Data1(), FertiliserProducts[[#Headers],[Company]],1)</f>
        <v>1.25</v>
      </c>
      <c r="H96" s="192" t="str" cm="1">
        <f t="array" ref="H96">Common_InputFunctions.Utility_DisplayArrayInTable(Fertiliser_SourceData.Fertiliser_Products_Data1(), FertiliserProducts[[#Headers],[Company]],1)</f>
        <v/>
      </c>
      <c r="I96" s="192" t="str" cm="1">
        <f t="array" ref="I96">Common_InputFunctions.Utility_DisplayArrayInTable(Fertiliser_SourceData.Fertiliser_Products_Data1(), FertiliserProducts[[#Headers],[Company]],1)</f>
        <v/>
      </c>
      <c r="J96" s="192" t="str" cm="1">
        <f t="array" ref="J96">Common_InputFunctions.Utility_DisplayArrayInTable(Fertiliser_SourceData.Fertiliser_Products_Data1(), FertiliserProducts[[#Headers],[Company]],1)</f>
        <v/>
      </c>
      <c r="K96" s="192" cm="1">
        <f t="array" ref="K96">Common_InputFunctions.Utility_DisplayArrayInTable(Fertiliser_SourceData.Fertiliser_Products_Data1(), FertiliserProducts[[#Headers],[Company]],1)</f>
        <v>10.3</v>
      </c>
      <c r="L96" s="192" cm="1">
        <f t="array" ref="L96">Common_InputFunctions.Utility_DisplayArrayInTable(Fertiliser_SourceData.Fertiliser_Products_Data1(), FertiliserProducts[[#Headers],[Company]],1)</f>
        <v>10</v>
      </c>
      <c r="M96" s="192" cm="1">
        <f t="array" ref="M96">Common_InputFunctions.Utility_DisplayArrayInTable(Fertiliser_SourceData.Fertiliser_Products_Data1(), FertiliserProducts[[#Headers],[Company]],1)</f>
        <v>3.4</v>
      </c>
      <c r="N96" s="192" t="str" cm="1">
        <f t="array" ref="N96">Common_InputFunctions.Utility_DisplayArrayInTable(Fertiliser_SourceData.Fertiliser_Products_Data1(), FertiliserProducts[[#Headers],[Company]],1)</f>
        <v/>
      </c>
      <c r="O96" s="192" t="str" cm="1">
        <f t="array" ref="O96">Common_InputFunctions.Utility_DisplayArrayInTable(Fertiliser_SourceData.Fertiliser_Products_Data1(), FertiliserProducts[[#Headers],[Company]],1)</f>
        <v>Nitrogen - Generic</v>
      </c>
      <c r="P96" s="192" cm="1">
        <f t="array" ref="P96">Common_InputFunctions.Utility_DisplayArrayInTable(Fertiliser_SourceData.Fertiliser_Products_Data1(), FertiliserProducts[[#Headers],[Company]],1)</f>
        <v>0.10299999999999999</v>
      </c>
      <c r="Q96" s="192" t="str" cm="1">
        <f t="array" ref="Q96">Common_InputFunctions.Utility_DisplayArrayInTable(Fertiliser_SourceData.Fertiliser_Products_Data1(), FertiliserProducts[[#Headers],[Company]],1)</f>
        <v>Phosphorus - Generic</v>
      </c>
      <c r="R96" s="192" cm="1">
        <f t="array" ref="R96">Common_InputFunctions.Utility_DisplayArrayInTable(Fertiliser_SourceData.Fertiliser_Products_Data1(), FertiliserProducts[[#Headers],[Company]],1)</f>
        <v>0.1</v>
      </c>
      <c r="S96" s="192" t="str" cm="1">
        <f t="array" ref="S96">Common_InputFunctions.Utility_DisplayArrayInTable(Fertiliser_SourceData.Fertiliser_Products_Data1(), FertiliserProducts[[#Headers],[Company]],1)</f>
        <v>Potassium - Generic</v>
      </c>
      <c r="T96" s="192" cm="1">
        <f t="array" ref="T96">Common_InputFunctions.Utility_DisplayArrayInTable(Fertiliser_SourceData.Fertiliser_Products_Data1(), FertiliserProducts[[#Headers],[Company]],1)</f>
        <v>3.4000000000000002E-2</v>
      </c>
      <c r="U96" s="192" t="str" cm="1">
        <f t="array" ref="U96">Common_InputFunctions.Utility_DisplayArrayInTable(Fertiliser_SourceData.Fertiliser_Products_Data1(), FertiliserProducts[[#Headers],[Company]],1)</f>
        <v/>
      </c>
      <c r="V96" s="192" t="str" cm="1">
        <f t="array" ref="V96">Common_InputFunctions.Utility_DisplayArrayInTable(Fertiliser_SourceData.Fertiliser_Products_Data1(), FertiliserProducts[[#Headers],[Company]],1)</f>
        <v/>
      </c>
      <c r="W96" s="192" t="str" cm="1">
        <f t="array" ref="W96">Common_InputFunctions.Utility_DisplayArrayInTable(Fertiliser_SourceData.Fertiliser_Products_Data1(), FertiliserProducts[[#Headers],[Company]],1)</f>
        <v/>
      </c>
      <c r="X96" s="192" t="str" cm="1">
        <f t="array" ref="X96">Common_InputFunctions.Utility_DisplayArrayInTable(Fertiliser_SourceData.Fertiliser_Products_Data1(), FertiliserProducts[[#Headers],[Company]],1)</f>
        <v/>
      </c>
      <c r="Y96" s="192" t="str" cm="1">
        <f t="array" ref="Y96">Common_InputFunctions.Utility_DisplayArrayInTable(Fertiliser_SourceData.Fertiliser_Products_Data1(), FertiliserProducts[[#Headers],[Company]],1)</f>
        <v/>
      </c>
      <c r="Z96" s="192" t="str" cm="1">
        <f t="array" ref="Z96">Common_InputFunctions.Utility_DisplayArrayInTable(Fertiliser_SourceData.Fertiliser_Products_Data1(), FertiliserProducts[[#Headers],[Company]],1)</f>
        <v/>
      </c>
      <c r="AA96" s="192" t="str" cm="1">
        <f t="array" ref="AA96">Common_InputFunctions.Utility_DisplayArrayInTable(Fertiliser_SourceData.Fertiliser_Products_Data1(), FertiliserProducts[[#Headers],[Company]],1)</f>
        <v/>
      </c>
      <c r="AB96" s="192" t="str" cm="1">
        <f t="array" ref="AB96">Common_InputFunctions.Utility_DisplayArrayInTable(Fertiliser_SourceData.Fertiliser_Products_Data1(), FertiliserProducts[[#Headers],[Company]],1)</f>
        <v/>
      </c>
      <c r="AC96" s="192" t="str" cm="1">
        <f t="array" ref="AC96">Common_InputFunctions.Utility_DisplayArrayInTable(Fertiliser_SourceData.Fertiliser_Products_Data1(), FertiliserProducts[[#Headers],[Company]],1)</f>
        <v/>
      </c>
      <c r="AD96" s="192" t="str" cm="1">
        <f t="array" ref="AD96">Common_InputFunctions.Utility_DisplayArrayInTable(Fertiliser_SourceData.Fertiliser_Products_Data1(), FertiliserProducts[[#Headers],[Company]],1)</f>
        <v/>
      </c>
      <c r="AE96" s="192" t="str" cm="1">
        <f t="array" ref="AE96">Common_InputFunctions.Utility_DisplayArrayInTable(Fertiliser_SourceData.Fertiliser_Products_Data1(), FertiliserProducts[[#Headers],[Company]],1)</f>
        <v/>
      </c>
      <c r="AF96" s="192" t="str" cm="1">
        <f t="array" ref="AF96">Common_InputFunctions.Utility_DisplayArrayInTable(Fertiliser_SourceData.Fertiliser_Products_Data1(), FertiliserProducts[[#Headers],[Company]],1)</f>
        <v/>
      </c>
      <c r="AG96" s="192" t="str" cm="1">
        <f t="array" ref="AG96">Common_InputFunctions.Utility_DisplayArrayInTable(Fertiliser_SourceData.Fertiliser_Products_Data1(), FertiliserProducts[[#Headers],[Company]],1)</f>
        <v/>
      </c>
      <c r="AH96" s="192" t="str" cm="1">
        <f t="array" ref="AH96">Common_InputFunctions.Utility_DisplayArrayInTable(Fertiliser_SourceData.Fertiliser_Products_Data1(), FertiliserProducts[[#Headers],[Company]],1)</f>
        <v/>
      </c>
      <c r="AK96" s="1"/>
      <c r="AL96" s="1"/>
      <c r="AM96" s="1"/>
    </row>
    <row r="97" spans="4:39" ht="20.100000000000001" customHeight="1" x14ac:dyDescent="0.25">
      <c r="D97" s="192" t="str" cm="1">
        <f t="array" ref="D97">Common_InputFunctions.Utility_DisplayArrayInTable(Fertiliser_SourceData.Fertiliser_Products_Data1(), FertiliserProducts[[#Headers],[Company]],1)</f>
        <v>Campbells fertilisers Australia</v>
      </c>
      <c r="E97" s="192" t="str" cm="1">
        <f t="array" ref="E97">Common_InputFunctions.Utility_DisplayArrayInTable(Fertiliser_SourceData.Fertiliser_Products_Data1(), FertiliserProducts[[#Headers],[Company]],1)</f>
        <v>Aqua Thio-Complete</v>
      </c>
      <c r="F97" s="192" t="str" cm="1">
        <f t="array" ref="F97">Common_InputFunctions.Utility_DisplayArrayInTable(Fertiliser_SourceData.Fertiliser_Products_Data1(), FertiliserProducts[[#Headers],[Company]],1)</f>
        <v>L</v>
      </c>
      <c r="G97" s="192" cm="1">
        <f t="array" ref="G97">Common_InputFunctions.Utility_DisplayArrayInTable(Fertiliser_SourceData.Fertiliser_Products_Data1(), FertiliserProducts[[#Headers],[Company]],1)</f>
        <v>1.43</v>
      </c>
      <c r="H97" s="192" t="str" cm="1">
        <f t="array" ref="H97">Common_InputFunctions.Utility_DisplayArrayInTable(Fertiliser_SourceData.Fertiliser_Products_Data1(), FertiliserProducts[[#Headers],[Company]],1)</f>
        <v/>
      </c>
      <c r="I97" s="192" t="str" cm="1">
        <f t="array" ref="I97">Common_InputFunctions.Utility_DisplayArrayInTable(Fertiliser_SourceData.Fertiliser_Products_Data1(), FertiliserProducts[[#Headers],[Company]],1)</f>
        <v/>
      </c>
      <c r="J97" s="192" t="str" cm="1">
        <f t="array" ref="J97">Common_InputFunctions.Utility_DisplayArrayInTable(Fertiliser_SourceData.Fertiliser_Products_Data1(), FertiliserProducts[[#Headers],[Company]],1)</f>
        <v/>
      </c>
      <c r="K97" s="192" cm="1">
        <f t="array" ref="K97">Common_InputFunctions.Utility_DisplayArrayInTable(Fertiliser_SourceData.Fertiliser_Products_Data1(), FertiliserProducts[[#Headers],[Company]],1)</f>
        <v>2.5</v>
      </c>
      <c r="L97" s="192" cm="1">
        <f t="array" ref="L97">Common_InputFunctions.Utility_DisplayArrayInTable(Fertiliser_SourceData.Fertiliser_Products_Data1(), FertiliserProducts[[#Headers],[Company]],1)</f>
        <v>3.8</v>
      </c>
      <c r="M97" s="192" cm="1">
        <f t="array" ref="M97">Common_InputFunctions.Utility_DisplayArrayInTable(Fertiliser_SourceData.Fertiliser_Products_Data1(), FertiliserProducts[[#Headers],[Company]],1)</f>
        <v>22.5</v>
      </c>
      <c r="N97" s="192" t="str" cm="1">
        <f t="array" ref="N97">Common_InputFunctions.Utility_DisplayArrayInTable(Fertiliser_SourceData.Fertiliser_Products_Data1(), FertiliserProducts[[#Headers],[Company]],1)</f>
        <v/>
      </c>
      <c r="O97" s="192" t="str" cm="1">
        <f t="array" ref="O97">Common_InputFunctions.Utility_DisplayArrayInTable(Fertiliser_SourceData.Fertiliser_Products_Data1(), FertiliserProducts[[#Headers],[Company]],1)</f>
        <v>Potassium - Generic</v>
      </c>
      <c r="P97" s="192" cm="1">
        <f t="array" ref="P97">Common_InputFunctions.Utility_DisplayArrayInTable(Fertiliser_SourceData.Fertiliser_Products_Data1(), FertiliserProducts[[#Headers],[Company]],1)</f>
        <v>0.22500000000000001</v>
      </c>
      <c r="Q97" s="192" t="str" cm="1">
        <f t="array" ref="Q97">Common_InputFunctions.Utility_DisplayArrayInTable(Fertiliser_SourceData.Fertiliser_Products_Data1(), FertiliserProducts[[#Headers],[Company]],1)</f>
        <v>Phosphorus - Generic</v>
      </c>
      <c r="R97" s="192" cm="1">
        <f t="array" ref="R97">Common_InputFunctions.Utility_DisplayArrayInTable(Fertiliser_SourceData.Fertiliser_Products_Data1(), FertiliserProducts[[#Headers],[Company]],1)</f>
        <v>3.7999999999999999E-2</v>
      </c>
      <c r="S97" s="192" t="str" cm="1">
        <f t="array" ref="S97">Common_InputFunctions.Utility_DisplayArrayInTable(Fertiliser_SourceData.Fertiliser_Products_Data1(), FertiliserProducts[[#Headers],[Company]],1)</f>
        <v>Nitrogen - Generic</v>
      </c>
      <c r="T97" s="192" cm="1">
        <f t="array" ref="T97">Common_InputFunctions.Utility_DisplayArrayInTable(Fertiliser_SourceData.Fertiliser_Products_Data1(), FertiliserProducts[[#Headers],[Company]],1)</f>
        <v>2.5000000000000001E-2</v>
      </c>
      <c r="U97" s="192" t="str" cm="1">
        <f t="array" ref="U97">Common_InputFunctions.Utility_DisplayArrayInTable(Fertiliser_SourceData.Fertiliser_Products_Data1(), FertiliserProducts[[#Headers],[Company]],1)</f>
        <v/>
      </c>
      <c r="V97" s="192" t="str" cm="1">
        <f t="array" ref="V97">Common_InputFunctions.Utility_DisplayArrayInTable(Fertiliser_SourceData.Fertiliser_Products_Data1(), FertiliserProducts[[#Headers],[Company]],1)</f>
        <v/>
      </c>
      <c r="W97" s="192" t="str" cm="1">
        <f t="array" ref="W97">Common_InputFunctions.Utility_DisplayArrayInTable(Fertiliser_SourceData.Fertiliser_Products_Data1(), FertiliserProducts[[#Headers],[Company]],1)</f>
        <v/>
      </c>
      <c r="X97" s="192" t="str" cm="1">
        <f t="array" ref="X97">Common_InputFunctions.Utility_DisplayArrayInTable(Fertiliser_SourceData.Fertiliser_Products_Data1(), FertiliserProducts[[#Headers],[Company]],1)</f>
        <v/>
      </c>
      <c r="Y97" s="192" t="str" cm="1">
        <f t="array" ref="Y97">Common_InputFunctions.Utility_DisplayArrayInTable(Fertiliser_SourceData.Fertiliser_Products_Data1(), FertiliserProducts[[#Headers],[Company]],1)</f>
        <v/>
      </c>
      <c r="Z97" s="192" t="str" cm="1">
        <f t="array" ref="Z97">Common_InputFunctions.Utility_DisplayArrayInTable(Fertiliser_SourceData.Fertiliser_Products_Data1(), FertiliserProducts[[#Headers],[Company]],1)</f>
        <v/>
      </c>
      <c r="AA97" s="192" t="str" cm="1">
        <f t="array" ref="AA97">Common_InputFunctions.Utility_DisplayArrayInTable(Fertiliser_SourceData.Fertiliser_Products_Data1(), FertiliserProducts[[#Headers],[Company]],1)</f>
        <v/>
      </c>
      <c r="AB97" s="192" t="str" cm="1">
        <f t="array" ref="AB97">Common_InputFunctions.Utility_DisplayArrayInTable(Fertiliser_SourceData.Fertiliser_Products_Data1(), FertiliserProducts[[#Headers],[Company]],1)</f>
        <v/>
      </c>
      <c r="AC97" s="192" t="str" cm="1">
        <f t="array" ref="AC97">Common_InputFunctions.Utility_DisplayArrayInTable(Fertiliser_SourceData.Fertiliser_Products_Data1(), FertiliserProducts[[#Headers],[Company]],1)</f>
        <v/>
      </c>
      <c r="AD97" s="192" t="str" cm="1">
        <f t="array" ref="AD97">Common_InputFunctions.Utility_DisplayArrayInTable(Fertiliser_SourceData.Fertiliser_Products_Data1(), FertiliserProducts[[#Headers],[Company]],1)</f>
        <v/>
      </c>
      <c r="AE97" s="192" t="str" cm="1">
        <f t="array" ref="AE97">Common_InputFunctions.Utility_DisplayArrayInTable(Fertiliser_SourceData.Fertiliser_Products_Data1(), FertiliserProducts[[#Headers],[Company]],1)</f>
        <v/>
      </c>
      <c r="AF97" s="192" t="str" cm="1">
        <f t="array" ref="AF97">Common_InputFunctions.Utility_DisplayArrayInTable(Fertiliser_SourceData.Fertiliser_Products_Data1(), FertiliserProducts[[#Headers],[Company]],1)</f>
        <v/>
      </c>
      <c r="AG97" s="192" t="str" cm="1">
        <f t="array" ref="AG97">Common_InputFunctions.Utility_DisplayArrayInTable(Fertiliser_SourceData.Fertiliser_Products_Data1(), FertiliserProducts[[#Headers],[Company]],1)</f>
        <v/>
      </c>
      <c r="AH97" s="192" t="str" cm="1">
        <f t="array" ref="AH97">Common_InputFunctions.Utility_DisplayArrayInTable(Fertiliser_SourceData.Fertiliser_Products_Data1(), FertiliserProducts[[#Headers],[Company]],1)</f>
        <v/>
      </c>
      <c r="AK97" s="1"/>
      <c r="AL97" s="1"/>
      <c r="AM97" s="1"/>
    </row>
    <row r="98" spans="4:39" ht="20.100000000000001" customHeight="1" x14ac:dyDescent="0.25">
      <c r="D98" s="192" t="str" cm="1">
        <f t="array" ref="D98">Common_InputFunctions.Utility_DisplayArrayInTable(Fertiliser_SourceData.Fertiliser_Products_Data1(), FertiliserProducts[[#Headers],[Company]],1)</f>
        <v>Campbells fertilisers Australia</v>
      </c>
      <c r="E98" s="192" t="str" cm="1">
        <f t="array" ref="E98">Common_InputFunctions.Utility_DisplayArrayInTable(Fertiliser_SourceData.Fertiliser_Products_Data1(), FertiliserProducts[[#Headers],[Company]],1)</f>
        <v>Aqua Thio-Emerge</v>
      </c>
      <c r="F98" s="192" t="str" cm="1">
        <f t="array" ref="F98">Common_InputFunctions.Utility_DisplayArrayInTable(Fertiliser_SourceData.Fertiliser_Products_Data1(), FertiliserProducts[[#Headers],[Company]],1)</f>
        <v>L</v>
      </c>
      <c r="G98" s="192" cm="1">
        <f t="array" ref="G98">Common_InputFunctions.Utility_DisplayArrayInTable(Fertiliser_SourceData.Fertiliser_Products_Data1(), FertiliserProducts[[#Headers],[Company]],1)</f>
        <v>1.29</v>
      </c>
      <c r="H98" s="192" t="str" cm="1">
        <f t="array" ref="H98">Common_InputFunctions.Utility_DisplayArrayInTable(Fertiliser_SourceData.Fertiliser_Products_Data1(), FertiliserProducts[[#Headers],[Company]],1)</f>
        <v/>
      </c>
      <c r="I98" s="192" t="str" cm="1">
        <f t="array" ref="I98">Common_InputFunctions.Utility_DisplayArrayInTable(Fertiliser_SourceData.Fertiliser_Products_Data1(), FertiliserProducts[[#Headers],[Company]],1)</f>
        <v/>
      </c>
      <c r="J98" s="192" t="str" cm="1">
        <f t="array" ref="J98">Common_InputFunctions.Utility_DisplayArrayInTable(Fertiliser_SourceData.Fertiliser_Products_Data1(), FertiliserProducts[[#Headers],[Company]],1)</f>
        <v/>
      </c>
      <c r="K98" s="192" cm="1">
        <f t="array" ref="K98">Common_InputFunctions.Utility_DisplayArrayInTable(Fertiliser_SourceData.Fertiliser_Products_Data1(), FertiliserProducts[[#Headers],[Company]],1)</f>
        <v>10.5</v>
      </c>
      <c r="L98" s="192" cm="1">
        <f t="array" ref="L98">Common_InputFunctions.Utility_DisplayArrayInTable(Fertiliser_SourceData.Fertiliser_Products_Data1(), FertiliserProducts[[#Headers],[Company]],1)</f>
        <v>9.4</v>
      </c>
      <c r="M98" s="192" cm="1">
        <f t="array" ref="M98">Common_InputFunctions.Utility_DisplayArrayInTable(Fertiliser_SourceData.Fertiliser_Products_Data1(), FertiliserProducts[[#Headers],[Company]],1)</f>
        <v>4</v>
      </c>
      <c r="N98" s="192" cm="1">
        <f t="array" ref="N98">Common_InputFunctions.Utility_DisplayArrayInTable(Fertiliser_SourceData.Fertiliser_Products_Data1(), FertiliserProducts[[#Headers],[Company]],1)</f>
        <v>3</v>
      </c>
      <c r="O98" s="192" t="str" cm="1">
        <f t="array" ref="O98">Common_InputFunctions.Utility_DisplayArrayInTable(Fertiliser_SourceData.Fertiliser_Products_Data1(), FertiliserProducts[[#Headers],[Company]],1)</f>
        <v>Nitrogen - Generic</v>
      </c>
      <c r="P98" s="192" cm="1">
        <f t="array" ref="P98">Common_InputFunctions.Utility_DisplayArrayInTable(Fertiliser_SourceData.Fertiliser_Products_Data1(), FertiliserProducts[[#Headers],[Company]],1)</f>
        <v>0.105</v>
      </c>
      <c r="Q98" s="192" t="str" cm="1">
        <f t="array" ref="Q98">Common_InputFunctions.Utility_DisplayArrayInTable(Fertiliser_SourceData.Fertiliser_Products_Data1(), FertiliserProducts[[#Headers],[Company]],1)</f>
        <v>Phosphorus - Generic</v>
      </c>
      <c r="R98" s="192" cm="1">
        <f t="array" ref="R98">Common_InputFunctions.Utility_DisplayArrayInTable(Fertiliser_SourceData.Fertiliser_Products_Data1(), FertiliserProducts[[#Headers],[Company]],1)</f>
        <v>9.4E-2</v>
      </c>
      <c r="S98" s="192" t="str" cm="1">
        <f t="array" ref="S98">Common_InputFunctions.Utility_DisplayArrayInTable(Fertiliser_SourceData.Fertiliser_Products_Data1(), FertiliserProducts[[#Headers],[Company]],1)</f>
        <v>Potassium - Generic</v>
      </c>
      <c r="T98" s="192" cm="1">
        <f t="array" ref="T98">Common_InputFunctions.Utility_DisplayArrayInTable(Fertiliser_SourceData.Fertiliser_Products_Data1(), FertiliserProducts[[#Headers],[Company]],1)</f>
        <v>0.04</v>
      </c>
      <c r="U98" s="192" t="str" cm="1">
        <f t="array" ref="U98">Common_InputFunctions.Utility_DisplayArrayInTable(Fertiliser_SourceData.Fertiliser_Products_Data1(), FertiliserProducts[[#Headers],[Company]],1)</f>
        <v>Sulfur - Generic</v>
      </c>
      <c r="V98" s="192" cm="1">
        <f t="array" ref="V98">Common_InputFunctions.Utility_DisplayArrayInTable(Fertiliser_SourceData.Fertiliser_Products_Data1(), FertiliserProducts[[#Headers],[Company]],1)</f>
        <v>0.03</v>
      </c>
      <c r="W98" s="192" t="str" cm="1">
        <f t="array" ref="W98">Common_InputFunctions.Utility_DisplayArrayInTable(Fertiliser_SourceData.Fertiliser_Products_Data1(), FertiliserProducts[[#Headers],[Company]],1)</f>
        <v/>
      </c>
      <c r="X98" s="192" t="str" cm="1">
        <f t="array" ref="X98">Common_InputFunctions.Utility_DisplayArrayInTable(Fertiliser_SourceData.Fertiliser_Products_Data1(), FertiliserProducts[[#Headers],[Company]],1)</f>
        <v/>
      </c>
      <c r="Y98" s="192" t="str" cm="1">
        <f t="array" ref="Y98">Common_InputFunctions.Utility_DisplayArrayInTable(Fertiliser_SourceData.Fertiliser_Products_Data1(), FertiliserProducts[[#Headers],[Company]],1)</f>
        <v/>
      </c>
      <c r="Z98" s="192" t="str" cm="1">
        <f t="array" ref="Z98">Common_InputFunctions.Utility_DisplayArrayInTable(Fertiliser_SourceData.Fertiliser_Products_Data1(), FertiliserProducts[[#Headers],[Company]],1)</f>
        <v/>
      </c>
      <c r="AA98" s="192" t="str" cm="1">
        <f t="array" ref="AA98">Common_InputFunctions.Utility_DisplayArrayInTable(Fertiliser_SourceData.Fertiliser_Products_Data1(), FertiliserProducts[[#Headers],[Company]],1)</f>
        <v/>
      </c>
      <c r="AB98" s="192" t="str" cm="1">
        <f t="array" ref="AB98">Common_InputFunctions.Utility_DisplayArrayInTable(Fertiliser_SourceData.Fertiliser_Products_Data1(), FertiliserProducts[[#Headers],[Company]],1)</f>
        <v/>
      </c>
      <c r="AC98" s="192" t="str" cm="1">
        <f t="array" ref="AC98">Common_InputFunctions.Utility_DisplayArrayInTable(Fertiliser_SourceData.Fertiliser_Products_Data1(), FertiliserProducts[[#Headers],[Company]],1)</f>
        <v/>
      </c>
      <c r="AD98" s="192" t="str" cm="1">
        <f t="array" ref="AD98">Common_InputFunctions.Utility_DisplayArrayInTable(Fertiliser_SourceData.Fertiliser_Products_Data1(), FertiliserProducts[[#Headers],[Company]],1)</f>
        <v/>
      </c>
      <c r="AE98" s="192" t="str" cm="1">
        <f t="array" ref="AE98">Common_InputFunctions.Utility_DisplayArrayInTable(Fertiliser_SourceData.Fertiliser_Products_Data1(), FertiliserProducts[[#Headers],[Company]],1)</f>
        <v/>
      </c>
      <c r="AF98" s="192" t="str" cm="1">
        <f t="array" ref="AF98">Common_InputFunctions.Utility_DisplayArrayInTable(Fertiliser_SourceData.Fertiliser_Products_Data1(), FertiliserProducts[[#Headers],[Company]],1)</f>
        <v/>
      </c>
      <c r="AG98" s="192" t="str" cm="1">
        <f t="array" ref="AG98">Common_InputFunctions.Utility_DisplayArrayInTable(Fertiliser_SourceData.Fertiliser_Products_Data1(), FertiliserProducts[[#Headers],[Company]],1)</f>
        <v/>
      </c>
      <c r="AH98" s="192" t="str" cm="1">
        <f t="array" ref="AH98">Common_InputFunctions.Utility_DisplayArrayInTable(Fertiliser_SourceData.Fertiliser_Products_Data1(), FertiliserProducts[[#Headers],[Company]],1)</f>
        <v/>
      </c>
      <c r="AK98" s="1"/>
      <c r="AL98" s="1"/>
      <c r="AM98" s="1"/>
    </row>
    <row r="99" spans="4:39" ht="20.100000000000001" customHeight="1" x14ac:dyDescent="0.25">
      <c r="D99" s="192" t="str" cm="1">
        <f t="array" ref="D99">Common_InputFunctions.Utility_DisplayArrayInTable(Fertiliser_SourceData.Fertiliser_Products_Data1(), FertiliserProducts[[#Headers],[Company]],1)</f>
        <v>Campbells fertilisers Australia</v>
      </c>
      <c r="E99" s="192" t="str" cm="1">
        <f t="array" ref="E99">Common_InputFunctions.Utility_DisplayArrayInTable(Fertiliser_SourceData.Fertiliser_Products_Data1(), FertiliserProducts[[#Headers],[Company]],1)</f>
        <v>Aqua Thio-Flourish</v>
      </c>
      <c r="F99" s="192" t="str" cm="1">
        <f t="array" ref="F99">Common_InputFunctions.Utility_DisplayArrayInTable(Fertiliser_SourceData.Fertiliser_Products_Data1(), FertiliserProducts[[#Headers],[Company]],1)</f>
        <v>L</v>
      </c>
      <c r="G99" s="192" cm="1">
        <f t="array" ref="G99">Common_InputFunctions.Utility_DisplayArrayInTable(Fertiliser_SourceData.Fertiliser_Products_Data1(), FertiliserProducts[[#Headers],[Company]],1)</f>
        <v>1.32</v>
      </c>
      <c r="H99" s="192" t="str" cm="1">
        <f t="array" ref="H99">Common_InputFunctions.Utility_DisplayArrayInTable(Fertiliser_SourceData.Fertiliser_Products_Data1(), FertiliserProducts[[#Headers],[Company]],1)</f>
        <v/>
      </c>
      <c r="I99" s="192" t="str" cm="1">
        <f t="array" ref="I99">Common_InputFunctions.Utility_DisplayArrayInTable(Fertiliser_SourceData.Fertiliser_Products_Data1(), FertiliserProducts[[#Headers],[Company]],1)</f>
        <v/>
      </c>
      <c r="J99" s="192" t="str" cm="1">
        <f t="array" ref="J99">Common_InputFunctions.Utility_DisplayArrayInTable(Fertiliser_SourceData.Fertiliser_Products_Data1(), FertiliserProducts[[#Headers],[Company]],1)</f>
        <v/>
      </c>
      <c r="K99" s="192" cm="1">
        <f t="array" ref="K99">Common_InputFunctions.Utility_DisplayArrayInTable(Fertiliser_SourceData.Fertiliser_Products_Data1(), FertiliserProducts[[#Headers],[Company]],1)</f>
        <v>9.5</v>
      </c>
      <c r="L99" s="192" cm="1">
        <f t="array" ref="L99">Common_InputFunctions.Utility_DisplayArrayInTable(Fertiliser_SourceData.Fertiliser_Products_Data1(), FertiliserProducts[[#Headers],[Company]],1)</f>
        <v>4.7</v>
      </c>
      <c r="M99" s="192" cm="1">
        <f t="array" ref="M99">Common_InputFunctions.Utility_DisplayArrayInTable(Fertiliser_SourceData.Fertiliser_Products_Data1(), FertiliserProducts[[#Headers],[Company]],1)</f>
        <v>10.8</v>
      </c>
      <c r="N99" s="192" cm="1">
        <f t="array" ref="N99">Common_InputFunctions.Utility_DisplayArrayInTable(Fertiliser_SourceData.Fertiliser_Products_Data1(), FertiliserProducts[[#Headers],[Company]],1)</f>
        <v>8.1</v>
      </c>
      <c r="O99" s="192" t="str" cm="1">
        <f t="array" ref="O99">Common_InputFunctions.Utility_DisplayArrayInTable(Fertiliser_SourceData.Fertiliser_Products_Data1(), FertiliserProducts[[#Headers],[Company]],1)</f>
        <v>Potassium - Generic</v>
      </c>
      <c r="P99" s="192" cm="1">
        <f t="array" ref="P99">Common_InputFunctions.Utility_DisplayArrayInTable(Fertiliser_SourceData.Fertiliser_Products_Data1(), FertiliserProducts[[#Headers],[Company]],1)</f>
        <v>0.108</v>
      </c>
      <c r="Q99" s="192" t="str" cm="1">
        <f t="array" ref="Q99">Common_InputFunctions.Utility_DisplayArrayInTable(Fertiliser_SourceData.Fertiliser_Products_Data1(), FertiliserProducts[[#Headers],[Company]],1)</f>
        <v>Nitrogen - Generic</v>
      </c>
      <c r="R99" s="192" cm="1">
        <f t="array" ref="R99">Common_InputFunctions.Utility_DisplayArrayInTable(Fertiliser_SourceData.Fertiliser_Products_Data1(), FertiliserProducts[[#Headers],[Company]],1)</f>
        <v>9.5000000000000001E-2</v>
      </c>
      <c r="S99" s="192" t="str" cm="1">
        <f t="array" ref="S99">Common_InputFunctions.Utility_DisplayArrayInTable(Fertiliser_SourceData.Fertiliser_Products_Data1(), FertiliserProducts[[#Headers],[Company]],1)</f>
        <v>Sulfur - Generic</v>
      </c>
      <c r="T99" s="192" cm="1">
        <f t="array" ref="T99">Common_InputFunctions.Utility_DisplayArrayInTable(Fertiliser_SourceData.Fertiliser_Products_Data1(), FertiliserProducts[[#Headers],[Company]],1)</f>
        <v>8.1000000000000003E-2</v>
      </c>
      <c r="U99" s="192" t="str" cm="1">
        <f t="array" ref="U99">Common_InputFunctions.Utility_DisplayArrayInTable(Fertiliser_SourceData.Fertiliser_Products_Data1(), FertiliserProducts[[#Headers],[Company]],1)</f>
        <v>Phosphorus - Generic</v>
      </c>
      <c r="V99" s="192" cm="1">
        <f t="array" ref="V99">Common_InputFunctions.Utility_DisplayArrayInTable(Fertiliser_SourceData.Fertiliser_Products_Data1(), FertiliserProducts[[#Headers],[Company]],1)</f>
        <v>4.7E-2</v>
      </c>
      <c r="W99" s="192" t="str" cm="1">
        <f t="array" ref="W99">Common_InputFunctions.Utility_DisplayArrayInTable(Fertiliser_SourceData.Fertiliser_Products_Data1(), FertiliserProducts[[#Headers],[Company]],1)</f>
        <v/>
      </c>
      <c r="X99" s="192" t="str" cm="1">
        <f t="array" ref="X99">Common_InputFunctions.Utility_DisplayArrayInTable(Fertiliser_SourceData.Fertiliser_Products_Data1(), FertiliserProducts[[#Headers],[Company]],1)</f>
        <v/>
      </c>
      <c r="Y99" s="192" t="str" cm="1">
        <f t="array" ref="Y99">Common_InputFunctions.Utility_DisplayArrayInTable(Fertiliser_SourceData.Fertiliser_Products_Data1(), FertiliserProducts[[#Headers],[Company]],1)</f>
        <v/>
      </c>
      <c r="Z99" s="192" t="str" cm="1">
        <f t="array" ref="Z99">Common_InputFunctions.Utility_DisplayArrayInTable(Fertiliser_SourceData.Fertiliser_Products_Data1(), FertiliserProducts[[#Headers],[Company]],1)</f>
        <v/>
      </c>
      <c r="AA99" s="192" t="str" cm="1">
        <f t="array" ref="AA99">Common_InputFunctions.Utility_DisplayArrayInTable(Fertiliser_SourceData.Fertiliser_Products_Data1(), FertiliserProducts[[#Headers],[Company]],1)</f>
        <v/>
      </c>
      <c r="AB99" s="192" t="str" cm="1">
        <f t="array" ref="AB99">Common_InputFunctions.Utility_DisplayArrayInTable(Fertiliser_SourceData.Fertiliser_Products_Data1(), FertiliserProducts[[#Headers],[Company]],1)</f>
        <v/>
      </c>
      <c r="AC99" s="192" t="str" cm="1">
        <f t="array" ref="AC99">Common_InputFunctions.Utility_DisplayArrayInTable(Fertiliser_SourceData.Fertiliser_Products_Data1(), FertiliserProducts[[#Headers],[Company]],1)</f>
        <v/>
      </c>
      <c r="AD99" s="192" t="str" cm="1">
        <f t="array" ref="AD99">Common_InputFunctions.Utility_DisplayArrayInTable(Fertiliser_SourceData.Fertiliser_Products_Data1(), FertiliserProducts[[#Headers],[Company]],1)</f>
        <v/>
      </c>
      <c r="AE99" s="192" t="str" cm="1">
        <f t="array" ref="AE99">Common_InputFunctions.Utility_DisplayArrayInTable(Fertiliser_SourceData.Fertiliser_Products_Data1(), FertiliserProducts[[#Headers],[Company]],1)</f>
        <v/>
      </c>
      <c r="AF99" s="192" t="str" cm="1">
        <f t="array" ref="AF99">Common_InputFunctions.Utility_DisplayArrayInTable(Fertiliser_SourceData.Fertiliser_Products_Data1(), FertiliserProducts[[#Headers],[Company]],1)</f>
        <v/>
      </c>
      <c r="AG99" s="192" t="str" cm="1">
        <f t="array" ref="AG99">Common_InputFunctions.Utility_DisplayArrayInTable(Fertiliser_SourceData.Fertiliser_Products_Data1(), FertiliserProducts[[#Headers],[Company]],1)</f>
        <v/>
      </c>
      <c r="AH99" s="192" t="str" cm="1">
        <f t="array" ref="AH99">Common_InputFunctions.Utility_DisplayArrayInTable(Fertiliser_SourceData.Fertiliser_Products_Data1(), FertiliserProducts[[#Headers],[Company]],1)</f>
        <v/>
      </c>
      <c r="AK99" s="1"/>
      <c r="AL99" s="1"/>
      <c r="AM99" s="1"/>
    </row>
    <row r="100" spans="4:39" ht="20.100000000000001" customHeight="1" x14ac:dyDescent="0.25">
      <c r="D100" s="192" t="str" cm="1">
        <f t="array" ref="D100">Common_InputFunctions.Utility_DisplayArrayInTable(Fertiliser_SourceData.Fertiliser_Products_Data1(), FertiliserProducts[[#Headers],[Company]],1)</f>
        <v>Campbells fertilisers Australia</v>
      </c>
      <c r="E100" s="192" t="str" cm="1">
        <f t="array" ref="E100">Common_InputFunctions.Utility_DisplayArrayInTable(Fertiliser_SourceData.Fertiliser_Products_Data1(), FertiliserProducts[[#Headers],[Company]],1)</f>
        <v>Boost-It</v>
      </c>
      <c r="F100" s="192" t="str" cm="1">
        <f t="array" ref="F100">Common_InputFunctions.Utility_DisplayArrayInTable(Fertiliser_SourceData.Fertiliser_Products_Data1(), FertiliserProducts[[#Headers],[Company]],1)</f>
        <v>kg</v>
      </c>
      <c r="G100" s="192" cm="1">
        <f t="array" ref="G100">Common_InputFunctions.Utility_DisplayArrayInTable(Fertiliser_SourceData.Fertiliser_Products_Data1(), FertiliserProducts[[#Headers],[Company]],1)</f>
        <v>1</v>
      </c>
      <c r="H100" s="192" t="str" cm="1">
        <f t="array" ref="H100">Common_InputFunctions.Utility_DisplayArrayInTable(Fertiliser_SourceData.Fertiliser_Products_Data1(), FertiliserProducts[[#Headers],[Company]],1)</f>
        <v/>
      </c>
      <c r="I100" s="192" t="str" cm="1">
        <f t="array" ref="I100">Common_InputFunctions.Utility_DisplayArrayInTable(Fertiliser_SourceData.Fertiliser_Products_Data1(), FertiliserProducts[[#Headers],[Company]],1)</f>
        <v/>
      </c>
      <c r="J100" s="192" t="str" cm="1">
        <f t="array" ref="J100">Common_InputFunctions.Utility_DisplayArrayInTable(Fertiliser_SourceData.Fertiliser_Products_Data1(), FertiliserProducts[[#Headers],[Company]],1)</f>
        <v/>
      </c>
      <c r="K100" s="192" cm="1">
        <f t="array" ref="K100">Common_InputFunctions.Utility_DisplayArrayInTable(Fertiliser_SourceData.Fertiliser_Products_Data1(), FertiliserProducts[[#Headers],[Company]],1)</f>
        <v>24</v>
      </c>
      <c r="L100" s="192" cm="1">
        <f t="array" ref="L100">Common_InputFunctions.Utility_DisplayArrayInTable(Fertiliser_SourceData.Fertiliser_Products_Data1(), FertiliserProducts[[#Headers],[Company]],1)</f>
        <v>5.2</v>
      </c>
      <c r="M100" s="192" cm="1">
        <f t="array" ref="M100">Common_InputFunctions.Utility_DisplayArrayInTable(Fertiliser_SourceData.Fertiliser_Products_Data1(), FertiliserProducts[[#Headers],[Company]],1)</f>
        <v>8</v>
      </c>
      <c r="N100" s="192" cm="1">
        <f t="array" ref="N100">Common_InputFunctions.Utility_DisplayArrayInTable(Fertiliser_SourceData.Fertiliser_Products_Data1(), FertiliserProducts[[#Headers],[Company]],1)</f>
        <v>5.3</v>
      </c>
      <c r="O100" s="192" t="str" cm="1">
        <f t="array" ref="O100">Common_InputFunctions.Utility_DisplayArrayInTable(Fertiliser_SourceData.Fertiliser_Products_Data1(), FertiliserProducts[[#Headers],[Company]],1)</f>
        <v>Urea</v>
      </c>
      <c r="P100" s="192" cm="1">
        <f t="array" ref="P100">Common_InputFunctions.Utility_DisplayArrayInTable(Fertiliser_SourceData.Fertiliser_Products_Data1(), FertiliserProducts[[#Headers],[Company]],1)</f>
        <v>0.52173899999999995</v>
      </c>
      <c r="Q100" s="192" t="str" cm="1">
        <f t="array" ref="Q100">Common_InputFunctions.Utility_DisplayArrayInTable(Fertiliser_SourceData.Fertiliser_Products_Data1(), FertiliserProducts[[#Headers],[Company]],1)</f>
        <v>Potassium - Generic</v>
      </c>
      <c r="R100" s="192" cm="1">
        <f t="array" ref="R100">Common_InputFunctions.Utility_DisplayArrayInTable(Fertiliser_SourceData.Fertiliser_Products_Data1(), FertiliserProducts[[#Headers],[Company]],1)</f>
        <v>0.08</v>
      </c>
      <c r="S100" s="192" t="str" cm="1">
        <f t="array" ref="S100">Common_InputFunctions.Utility_DisplayArrayInTable(Fertiliser_SourceData.Fertiliser_Products_Data1(), FertiliserProducts[[#Headers],[Company]],1)</f>
        <v>Sulfur - Generic</v>
      </c>
      <c r="T100" s="192" cm="1">
        <f t="array" ref="T100">Common_InputFunctions.Utility_DisplayArrayInTable(Fertiliser_SourceData.Fertiliser_Products_Data1(), FertiliserProducts[[#Headers],[Company]],1)</f>
        <v>5.2999999999999999E-2</v>
      </c>
      <c r="U100" s="192" t="str" cm="1">
        <f t="array" ref="U100">Common_InputFunctions.Utility_DisplayArrayInTable(Fertiliser_SourceData.Fertiliser_Products_Data1(), FertiliserProducts[[#Headers],[Company]],1)</f>
        <v>Phosphorus - Generic</v>
      </c>
      <c r="V100" s="192" cm="1">
        <f t="array" ref="V100">Common_InputFunctions.Utility_DisplayArrayInTable(Fertiliser_SourceData.Fertiliser_Products_Data1(), FertiliserProducts[[#Headers],[Company]],1)</f>
        <v>5.1999999999999998E-2</v>
      </c>
      <c r="W100" s="192" t="str" cm="1">
        <f t="array" ref="W100">Common_InputFunctions.Utility_DisplayArrayInTable(Fertiliser_SourceData.Fertiliser_Products_Data1(), FertiliserProducts[[#Headers],[Company]],1)</f>
        <v>Magnesium</v>
      </c>
      <c r="X100" s="192" cm="1">
        <f t="array" ref="X100">Common_InputFunctions.Utility_DisplayArrayInTable(Fertiliser_SourceData.Fertiliser_Products_Data1(), FertiliserProducts[[#Headers],[Company]],1)</f>
        <v>1.2999999999999999E-2</v>
      </c>
      <c r="Y100" s="192" t="str" cm="1">
        <f t="array" ref="Y100">Common_InputFunctions.Utility_DisplayArrayInTable(Fertiliser_SourceData.Fertiliser_Products_Data1(), FertiliserProducts[[#Headers],[Company]],1)</f>
        <v>Zinc</v>
      </c>
      <c r="Z100" s="192" cm="1">
        <f t="array" ref="Z100">Common_InputFunctions.Utility_DisplayArrayInTable(Fertiliser_SourceData.Fertiliser_Products_Data1(), FertiliserProducts[[#Headers],[Company]],1)</f>
        <v>2E-3</v>
      </c>
      <c r="AA100" s="192" t="str" cm="1">
        <f t="array" ref="AA100">Common_InputFunctions.Utility_DisplayArrayInTable(Fertiliser_SourceData.Fertiliser_Products_Data1(), FertiliserProducts[[#Headers],[Company]],1)</f>
        <v>Manganese</v>
      </c>
      <c r="AB100" s="192" cm="1">
        <f t="array" ref="AB100">Common_InputFunctions.Utility_DisplayArrayInTable(Fertiliser_SourceData.Fertiliser_Products_Data1(), FertiliserProducts[[#Headers],[Company]],1)</f>
        <v>3.5000000000000001E-3</v>
      </c>
      <c r="AC100" s="192" t="str" cm="1">
        <f t="array" ref="AC100">Common_InputFunctions.Utility_DisplayArrayInTable(Fertiliser_SourceData.Fertiliser_Products_Data1(), FertiliserProducts[[#Headers],[Company]],1)</f>
        <v>Iron</v>
      </c>
      <c r="AD100" s="192" cm="1">
        <f t="array" ref="AD100">Common_InputFunctions.Utility_DisplayArrayInTable(Fertiliser_SourceData.Fertiliser_Products_Data1(), FertiliserProducts[[#Headers],[Company]],1)</f>
        <v>1.2999999999999999E-3</v>
      </c>
      <c r="AE100" s="192" t="str" cm="1">
        <f t="array" ref="AE100">Common_InputFunctions.Utility_DisplayArrayInTable(Fertiliser_SourceData.Fertiliser_Products_Data1(), FertiliserProducts[[#Headers],[Company]],1)</f>
        <v>Copper</v>
      </c>
      <c r="AF100" s="192" cm="1">
        <f t="array" ref="AF100">Common_InputFunctions.Utility_DisplayArrayInTable(Fertiliser_SourceData.Fertiliser_Products_Data1(), FertiliserProducts[[#Headers],[Company]],1)</f>
        <v>6.9999999999999999E-4</v>
      </c>
      <c r="AG100" s="192" t="str" cm="1">
        <f t="array" ref="AG100">Common_InputFunctions.Utility_DisplayArrayInTable(Fertiliser_SourceData.Fertiliser_Products_Data1(), FertiliserProducts[[#Headers],[Company]],1)</f>
        <v>Boron</v>
      </c>
      <c r="AH100" s="192"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5">
      <c r="D101" s="192" t="str" cm="1">
        <f t="array" ref="D101">Common_InputFunctions.Utility_DisplayArrayInTable(Fertiliser_SourceData.Fertiliser_Products_Data1(), FertiliserProducts[[#Headers],[Company]],1)</f>
        <v>Campbells fertilisers Australia</v>
      </c>
      <c r="E101" s="192" t="str" cm="1">
        <f t="array" ref="E101">Common_InputFunctions.Utility_DisplayArrayInTable(Fertiliser_SourceData.Fertiliser_Products_Data1(), FertiliserProducts[[#Headers],[Company]],1)</f>
        <v>Bronze</v>
      </c>
      <c r="F101" s="192" t="str" cm="1">
        <f t="array" ref="F101">Common_InputFunctions.Utility_DisplayArrayInTable(Fertiliser_SourceData.Fertiliser_Products_Data1(), FertiliserProducts[[#Headers],[Company]],1)</f>
        <v>kg</v>
      </c>
      <c r="G101" s="192" cm="1">
        <f t="array" ref="G101">Common_InputFunctions.Utility_DisplayArrayInTable(Fertiliser_SourceData.Fertiliser_Products_Data1(), FertiliserProducts[[#Headers],[Company]],1)</f>
        <v>1</v>
      </c>
      <c r="H101" s="192" t="str" cm="1">
        <f t="array" ref="H101">Common_InputFunctions.Utility_DisplayArrayInTable(Fertiliser_SourceData.Fertiliser_Products_Data1(), FertiliserProducts[[#Headers],[Company]],1)</f>
        <v/>
      </c>
      <c r="I101" s="192" t="str" cm="1">
        <f t="array" ref="I101">Common_InputFunctions.Utility_DisplayArrayInTable(Fertiliser_SourceData.Fertiliser_Products_Data1(), FertiliserProducts[[#Headers],[Company]],1)</f>
        <v/>
      </c>
      <c r="J101" s="192" t="str" cm="1">
        <f t="array" ref="J101">Common_InputFunctions.Utility_DisplayArrayInTable(Fertiliser_SourceData.Fertiliser_Products_Data1(), FertiliserProducts[[#Headers],[Company]],1)</f>
        <v/>
      </c>
      <c r="K101" s="192" cm="1">
        <f t="array" ref="K101">Common_InputFunctions.Utility_DisplayArrayInTable(Fertiliser_SourceData.Fertiliser_Products_Data1(), FertiliserProducts[[#Headers],[Company]],1)</f>
        <v>17</v>
      </c>
      <c r="L101" s="192" cm="1">
        <f t="array" ref="L101">Common_InputFunctions.Utility_DisplayArrayInTable(Fertiliser_SourceData.Fertiliser_Products_Data1(), FertiliserProducts[[#Headers],[Company]],1)</f>
        <v>0.04</v>
      </c>
      <c r="M101" s="192" cm="1">
        <f t="array" ref="M101">Common_InputFunctions.Utility_DisplayArrayInTable(Fertiliser_SourceData.Fertiliser_Products_Data1(), FertiliserProducts[[#Headers],[Company]],1)</f>
        <v>11.6</v>
      </c>
      <c r="N101" s="192" cm="1">
        <f t="array" ref="N101">Common_InputFunctions.Utility_DisplayArrayInTable(Fertiliser_SourceData.Fertiliser_Products_Data1(), FertiliserProducts[[#Headers],[Company]],1)</f>
        <v>0.5</v>
      </c>
      <c r="O101" s="192" t="str" cm="1">
        <f t="array" ref="O101">Common_InputFunctions.Utility_DisplayArrayInTable(Fertiliser_SourceData.Fertiliser_Products_Data1(), FertiliserProducts[[#Headers],[Company]],1)</f>
        <v>Muriate of potash (MOP)</v>
      </c>
      <c r="P101" s="192" cm="1">
        <f t="array" ref="P101">Common_InputFunctions.Utility_DisplayArrayInTable(Fertiliser_SourceData.Fertiliser_Products_Data1(), FertiliserProducts[[#Headers],[Company]],1)</f>
        <v>0.23200000000000001</v>
      </c>
      <c r="Q101" s="192" t="str" cm="1">
        <f t="array" ref="Q101">Common_InputFunctions.Utility_DisplayArrayInTable(Fertiliser_SourceData.Fertiliser_Products_Data1(), FertiliserProducts[[#Headers],[Company]],1)</f>
        <v>Nitrogen - Generic</v>
      </c>
      <c r="R101" s="192" cm="1">
        <f t="array" ref="R101">Common_InputFunctions.Utility_DisplayArrayInTable(Fertiliser_SourceData.Fertiliser_Products_Data1(), FertiliserProducts[[#Headers],[Company]],1)</f>
        <v>0.17</v>
      </c>
      <c r="S101" s="192" t="str" cm="1">
        <f t="array" ref="S101">Common_InputFunctions.Utility_DisplayArrayInTable(Fertiliser_SourceData.Fertiliser_Products_Data1(), FertiliserProducts[[#Headers],[Company]],1)</f>
        <v>Sulfur - Generic</v>
      </c>
      <c r="T101" s="192" cm="1">
        <f t="array" ref="T101">Common_InputFunctions.Utility_DisplayArrayInTable(Fertiliser_SourceData.Fertiliser_Products_Data1(), FertiliserProducts[[#Headers],[Company]],1)</f>
        <v>5.0000000000000001E-3</v>
      </c>
      <c r="U101" s="192" t="str" cm="1">
        <f t="array" ref="U101">Common_InputFunctions.Utility_DisplayArrayInTable(Fertiliser_SourceData.Fertiliser_Products_Data1(), FertiliserProducts[[#Headers],[Company]],1)</f>
        <v>Magnesium</v>
      </c>
      <c r="V101" s="192" cm="1">
        <f t="array" ref="V101">Common_InputFunctions.Utility_DisplayArrayInTable(Fertiliser_SourceData.Fertiliser_Products_Data1(), FertiliserProducts[[#Headers],[Company]],1)</f>
        <v>2.3999999999999998E-3</v>
      </c>
      <c r="W101" s="192" t="str" cm="1">
        <f t="array" ref="W101">Common_InputFunctions.Utility_DisplayArrayInTable(Fertiliser_SourceData.Fertiliser_Products_Data1(), FertiliserProducts[[#Headers],[Company]],1)</f>
        <v>Phosphorus - Generic</v>
      </c>
      <c r="X101" s="192" cm="1">
        <f t="array" ref="X101">Common_InputFunctions.Utility_DisplayArrayInTable(Fertiliser_SourceData.Fertiliser_Products_Data1(), FertiliserProducts[[#Headers],[Company]],1)</f>
        <v>4.0000000000000002E-4</v>
      </c>
      <c r="Y101" s="192" t="str" cm="1">
        <f t="array" ref="Y101">Common_InputFunctions.Utility_DisplayArrayInTable(Fertiliser_SourceData.Fertiliser_Products_Data1(), FertiliserProducts[[#Headers],[Company]],1)</f>
        <v/>
      </c>
      <c r="Z101" s="192" t="str" cm="1">
        <f t="array" ref="Z101">Common_InputFunctions.Utility_DisplayArrayInTable(Fertiliser_SourceData.Fertiliser_Products_Data1(), FertiliserProducts[[#Headers],[Company]],1)</f>
        <v/>
      </c>
      <c r="AA101" s="192" t="str" cm="1">
        <f t="array" ref="AA101">Common_InputFunctions.Utility_DisplayArrayInTable(Fertiliser_SourceData.Fertiliser_Products_Data1(), FertiliserProducts[[#Headers],[Company]],1)</f>
        <v/>
      </c>
      <c r="AB101" s="192" t="str" cm="1">
        <f t="array" ref="AB101">Common_InputFunctions.Utility_DisplayArrayInTable(Fertiliser_SourceData.Fertiliser_Products_Data1(), FertiliserProducts[[#Headers],[Company]],1)</f>
        <v/>
      </c>
      <c r="AC101" s="192" t="str" cm="1">
        <f t="array" ref="AC101">Common_InputFunctions.Utility_DisplayArrayInTable(Fertiliser_SourceData.Fertiliser_Products_Data1(), FertiliserProducts[[#Headers],[Company]],1)</f>
        <v/>
      </c>
      <c r="AD101" s="192" t="str" cm="1">
        <f t="array" ref="AD101">Common_InputFunctions.Utility_DisplayArrayInTable(Fertiliser_SourceData.Fertiliser_Products_Data1(), FertiliserProducts[[#Headers],[Company]],1)</f>
        <v/>
      </c>
      <c r="AE101" s="192" t="str" cm="1">
        <f t="array" ref="AE101">Common_InputFunctions.Utility_DisplayArrayInTable(Fertiliser_SourceData.Fertiliser_Products_Data1(), FertiliserProducts[[#Headers],[Company]],1)</f>
        <v/>
      </c>
      <c r="AF101" s="192" t="str" cm="1">
        <f t="array" ref="AF101">Common_InputFunctions.Utility_DisplayArrayInTable(Fertiliser_SourceData.Fertiliser_Products_Data1(), FertiliserProducts[[#Headers],[Company]],1)</f>
        <v/>
      </c>
      <c r="AG101" s="192" t="str" cm="1">
        <f t="array" ref="AG101">Common_InputFunctions.Utility_DisplayArrayInTable(Fertiliser_SourceData.Fertiliser_Products_Data1(), FertiliserProducts[[#Headers],[Company]],1)</f>
        <v/>
      </c>
      <c r="AH101" s="192" t="str" cm="1">
        <f t="array" ref="AH101">Common_InputFunctions.Utility_DisplayArrayInTable(Fertiliser_SourceData.Fertiliser_Products_Data1(), FertiliserProducts[[#Headers],[Company]],1)</f>
        <v/>
      </c>
      <c r="AK101" s="1"/>
      <c r="AL101" s="1"/>
      <c r="AM101" s="1"/>
    </row>
    <row r="102" spans="4:39" ht="20.100000000000001" customHeight="1" x14ac:dyDescent="0.25">
      <c r="D102" s="192" t="str" cm="1">
        <f t="array" ref="D102">Common_InputFunctions.Utility_DisplayArrayInTable(Fertiliser_SourceData.Fertiliser_Products_Data1(), FertiliserProducts[[#Headers],[Company]],1)</f>
        <v>Campbells fertilisers Australia</v>
      </c>
      <c r="E102" s="192" t="str" cm="1">
        <f t="array" ref="E102">Common_InputFunctions.Utility_DisplayArrayInTable(Fertiliser_SourceData.Fertiliser_Products_Data1(), FertiliserProducts[[#Headers],[Company]],1)</f>
        <v>Calbit C</v>
      </c>
      <c r="F102" s="192" t="str" cm="1">
        <f t="array" ref="F102">Common_InputFunctions.Utility_DisplayArrayInTable(Fertiliser_SourceData.Fertiliser_Products_Data1(), FertiliserProducts[[#Headers],[Company]],1)</f>
        <v>L</v>
      </c>
      <c r="G102" s="192" cm="1">
        <f t="array" ref="G102">Common_InputFunctions.Utility_DisplayArrayInTable(Fertiliser_SourceData.Fertiliser_Products_Data1(), FertiliserProducts[[#Headers],[Company]],1)</f>
        <v>1.45</v>
      </c>
      <c r="H102" s="192" t="str" cm="1">
        <f t="array" ref="H102">Common_InputFunctions.Utility_DisplayArrayInTable(Fertiliser_SourceData.Fertiliser_Products_Data1(), FertiliserProducts[[#Headers],[Company]],1)</f>
        <v/>
      </c>
      <c r="I102" s="192" t="str" cm="1">
        <f t="array" ref="I102">Common_InputFunctions.Utility_DisplayArrayInTable(Fertiliser_SourceData.Fertiliser_Products_Data1(), FertiliserProducts[[#Headers],[Company]],1)</f>
        <v/>
      </c>
      <c r="J102" s="192" t="str" cm="1">
        <f t="array" ref="J102">Common_InputFunctions.Utility_DisplayArrayInTable(Fertiliser_SourceData.Fertiliser_Products_Data1(), FertiliserProducts[[#Headers],[Company]],1)</f>
        <v/>
      </c>
      <c r="K102" s="192" t="str" cm="1">
        <f t="array" ref="K102">Common_InputFunctions.Utility_DisplayArrayInTable(Fertiliser_SourceData.Fertiliser_Products_Data1(), FertiliserProducts[[#Headers],[Company]],1)</f>
        <v/>
      </c>
      <c r="L102" s="192" t="str" cm="1">
        <f t="array" ref="L102">Common_InputFunctions.Utility_DisplayArrayInTable(Fertiliser_SourceData.Fertiliser_Products_Data1(), FertiliserProducts[[#Headers],[Company]],1)</f>
        <v/>
      </c>
      <c r="M102" s="192" t="str" cm="1">
        <f t="array" ref="M102">Common_InputFunctions.Utility_DisplayArrayInTable(Fertiliser_SourceData.Fertiliser_Products_Data1(), FertiliserProducts[[#Headers],[Company]],1)</f>
        <v/>
      </c>
      <c r="N102" s="192" t="str" cm="1">
        <f t="array" ref="N102">Common_InputFunctions.Utility_DisplayArrayInTable(Fertiliser_SourceData.Fertiliser_Products_Data1(), FertiliserProducts[[#Headers],[Company]],1)</f>
        <v/>
      </c>
      <c r="O102" s="192" t="str" cm="1">
        <f t="array" ref="O102">Common_InputFunctions.Utility_DisplayArrayInTable(Fertiliser_SourceData.Fertiliser_Products_Data1(), FertiliserProducts[[#Headers],[Company]],1)</f>
        <v>Calcium</v>
      </c>
      <c r="P102" s="192" cm="1">
        <f t="array" ref="P102">Common_InputFunctions.Utility_DisplayArrayInTable(Fertiliser_SourceData.Fertiliser_Products_Data1(), FertiliserProducts[[#Headers],[Company]],1)</f>
        <v>0.107</v>
      </c>
      <c r="Q102" s="192" t="str" cm="1">
        <f t="array" ref="Q102">Common_InputFunctions.Utility_DisplayArrayInTable(Fertiliser_SourceData.Fertiliser_Products_Data1(), FertiliserProducts[[#Headers],[Company]],1)</f>
        <v/>
      </c>
      <c r="R102" s="192" t="str" cm="1">
        <f t="array" ref="R102">Common_InputFunctions.Utility_DisplayArrayInTable(Fertiliser_SourceData.Fertiliser_Products_Data1(), FertiliserProducts[[#Headers],[Company]],1)</f>
        <v/>
      </c>
      <c r="S102" s="192" t="str" cm="1">
        <f t="array" ref="S102">Common_InputFunctions.Utility_DisplayArrayInTable(Fertiliser_SourceData.Fertiliser_Products_Data1(), FertiliserProducts[[#Headers],[Company]],1)</f>
        <v/>
      </c>
      <c r="T102" s="192" t="str" cm="1">
        <f t="array" ref="T102">Common_InputFunctions.Utility_DisplayArrayInTable(Fertiliser_SourceData.Fertiliser_Products_Data1(), FertiliserProducts[[#Headers],[Company]],1)</f>
        <v/>
      </c>
      <c r="U102" s="192" t="str" cm="1">
        <f t="array" ref="U102">Common_InputFunctions.Utility_DisplayArrayInTable(Fertiliser_SourceData.Fertiliser_Products_Data1(), FertiliserProducts[[#Headers],[Company]],1)</f>
        <v/>
      </c>
      <c r="V102" s="192" t="str" cm="1">
        <f t="array" ref="V102">Common_InputFunctions.Utility_DisplayArrayInTable(Fertiliser_SourceData.Fertiliser_Products_Data1(), FertiliserProducts[[#Headers],[Company]],1)</f>
        <v/>
      </c>
      <c r="W102" s="192" t="str" cm="1">
        <f t="array" ref="W102">Common_InputFunctions.Utility_DisplayArrayInTable(Fertiliser_SourceData.Fertiliser_Products_Data1(), FertiliserProducts[[#Headers],[Company]],1)</f>
        <v/>
      </c>
      <c r="X102" s="192" t="str" cm="1">
        <f t="array" ref="X102">Common_InputFunctions.Utility_DisplayArrayInTable(Fertiliser_SourceData.Fertiliser_Products_Data1(), FertiliserProducts[[#Headers],[Company]],1)</f>
        <v/>
      </c>
      <c r="Y102" s="192" t="str" cm="1">
        <f t="array" ref="Y102">Common_InputFunctions.Utility_DisplayArrayInTable(Fertiliser_SourceData.Fertiliser_Products_Data1(), FertiliserProducts[[#Headers],[Company]],1)</f>
        <v/>
      </c>
      <c r="Z102" s="192" t="str" cm="1">
        <f t="array" ref="Z102">Common_InputFunctions.Utility_DisplayArrayInTable(Fertiliser_SourceData.Fertiliser_Products_Data1(), FertiliserProducts[[#Headers],[Company]],1)</f>
        <v/>
      </c>
      <c r="AA102" s="192" t="str" cm="1">
        <f t="array" ref="AA102">Common_InputFunctions.Utility_DisplayArrayInTable(Fertiliser_SourceData.Fertiliser_Products_Data1(), FertiliserProducts[[#Headers],[Company]],1)</f>
        <v/>
      </c>
      <c r="AB102" s="192" t="str" cm="1">
        <f t="array" ref="AB102">Common_InputFunctions.Utility_DisplayArrayInTable(Fertiliser_SourceData.Fertiliser_Products_Data1(), FertiliserProducts[[#Headers],[Company]],1)</f>
        <v/>
      </c>
      <c r="AC102" s="192" t="str" cm="1">
        <f t="array" ref="AC102">Common_InputFunctions.Utility_DisplayArrayInTable(Fertiliser_SourceData.Fertiliser_Products_Data1(), FertiliserProducts[[#Headers],[Company]],1)</f>
        <v/>
      </c>
      <c r="AD102" s="192" t="str" cm="1">
        <f t="array" ref="AD102">Common_InputFunctions.Utility_DisplayArrayInTable(Fertiliser_SourceData.Fertiliser_Products_Data1(), FertiliserProducts[[#Headers],[Company]],1)</f>
        <v/>
      </c>
      <c r="AE102" s="192" t="str" cm="1">
        <f t="array" ref="AE102">Common_InputFunctions.Utility_DisplayArrayInTable(Fertiliser_SourceData.Fertiliser_Products_Data1(), FertiliserProducts[[#Headers],[Company]],1)</f>
        <v/>
      </c>
      <c r="AF102" s="192" t="str" cm="1">
        <f t="array" ref="AF102">Common_InputFunctions.Utility_DisplayArrayInTable(Fertiliser_SourceData.Fertiliser_Products_Data1(), FertiliserProducts[[#Headers],[Company]],1)</f>
        <v/>
      </c>
      <c r="AG102" s="192" t="str" cm="1">
        <f t="array" ref="AG102">Common_InputFunctions.Utility_DisplayArrayInTable(Fertiliser_SourceData.Fertiliser_Products_Data1(), FertiliserProducts[[#Headers],[Company]],1)</f>
        <v/>
      </c>
      <c r="AH102" s="192" t="str" cm="1">
        <f t="array" ref="AH102">Common_InputFunctions.Utility_DisplayArrayInTable(Fertiliser_SourceData.Fertiliser_Products_Data1(), FertiliserProducts[[#Headers],[Company]],1)</f>
        <v/>
      </c>
      <c r="AK102" s="1"/>
      <c r="AL102" s="1"/>
      <c r="AM102" s="1"/>
    </row>
    <row r="103" spans="4:39" ht="20.100000000000001" customHeight="1" x14ac:dyDescent="0.25">
      <c r="D103" s="192" t="str" cm="1">
        <f t="array" ref="D103">Common_InputFunctions.Utility_DisplayArrayInTable(Fertiliser_SourceData.Fertiliser_Products_Data1(), FertiliserProducts[[#Headers],[Company]],1)</f>
        <v>Campbells fertilisers Australia</v>
      </c>
      <c r="E103" s="192" t="str" cm="1">
        <f t="array" ref="E103">Common_InputFunctions.Utility_DisplayArrayInTable(Fertiliser_SourceData.Fertiliser_Products_Data1(), FertiliserProducts[[#Headers],[Company]],1)</f>
        <v>Compass</v>
      </c>
      <c r="F103" s="192" t="str" cm="1">
        <f t="array" ref="F103">Common_InputFunctions.Utility_DisplayArrayInTable(Fertiliser_SourceData.Fertiliser_Products_Data1(), FertiliserProducts[[#Headers],[Company]],1)</f>
        <v>kg</v>
      </c>
      <c r="G103" s="192" cm="1">
        <f t="array" ref="G103">Common_InputFunctions.Utility_DisplayArrayInTable(Fertiliser_SourceData.Fertiliser_Products_Data1(), FertiliserProducts[[#Headers],[Company]],1)</f>
        <v>1</v>
      </c>
      <c r="H103" s="192" t="str" cm="1">
        <f t="array" ref="H103">Common_InputFunctions.Utility_DisplayArrayInTable(Fertiliser_SourceData.Fertiliser_Products_Data1(), FertiliserProducts[[#Headers],[Company]],1)</f>
        <v/>
      </c>
      <c r="I103" s="192" t="str" cm="1">
        <f t="array" ref="I103">Common_InputFunctions.Utility_DisplayArrayInTable(Fertiliser_SourceData.Fertiliser_Products_Data1(), FertiliserProducts[[#Headers],[Company]],1)</f>
        <v/>
      </c>
      <c r="J103" s="192" t="str" cm="1">
        <f t="array" ref="J103">Common_InputFunctions.Utility_DisplayArrayInTable(Fertiliser_SourceData.Fertiliser_Products_Data1(), FertiliserProducts[[#Headers],[Company]],1)</f>
        <v/>
      </c>
      <c r="K103" s="192" cm="1">
        <f t="array" ref="K103">Common_InputFunctions.Utility_DisplayArrayInTable(Fertiliser_SourceData.Fertiliser_Products_Data1(), FertiliserProducts[[#Headers],[Company]],1)</f>
        <v>15</v>
      </c>
      <c r="L103" s="192" cm="1">
        <f t="array" ref="L103">Common_InputFunctions.Utility_DisplayArrayInTable(Fertiliser_SourceData.Fertiliser_Products_Data1(), FertiliserProducts[[#Headers],[Company]],1)</f>
        <v>6.5</v>
      </c>
      <c r="M103" s="192" cm="1">
        <f t="array" ref="M103">Common_InputFunctions.Utility_DisplayArrayInTable(Fertiliser_SourceData.Fertiliser_Products_Data1(), FertiliserProducts[[#Headers],[Company]],1)</f>
        <v>12.5</v>
      </c>
      <c r="N103" s="192" cm="1">
        <f t="array" ref="N103">Common_InputFunctions.Utility_DisplayArrayInTable(Fertiliser_SourceData.Fertiliser_Products_Data1(), FertiliserProducts[[#Headers],[Company]],1)</f>
        <v>6</v>
      </c>
      <c r="O103" s="192" t="str" cm="1">
        <f t="array" ref="O103">Common_InputFunctions.Utility_DisplayArrayInTable(Fertiliser_SourceData.Fertiliser_Products_Data1(), FertiliserProducts[[#Headers],[Company]],1)</f>
        <v>Nitrogen - Ammoniacal</v>
      </c>
      <c r="P103" s="192" cm="1">
        <f t="array" ref="P103">Common_InputFunctions.Utility_DisplayArrayInTable(Fertiliser_SourceData.Fertiliser_Products_Data1(), FertiliserProducts[[#Headers],[Company]],1)</f>
        <v>7.4999999999999997E-2</v>
      </c>
      <c r="Q103" s="192" t="str" cm="1">
        <f t="array" ref="Q103">Common_InputFunctions.Utility_DisplayArrayInTable(Fertiliser_SourceData.Fertiliser_Products_Data1(), FertiliserProducts[[#Headers],[Company]],1)</f>
        <v>Nitrogen - Nitrate</v>
      </c>
      <c r="R103" s="192" cm="1">
        <f t="array" ref="R103">Common_InputFunctions.Utility_DisplayArrayInTable(Fertiliser_SourceData.Fertiliser_Products_Data1(), FertiliserProducts[[#Headers],[Company]],1)</f>
        <v>7.4999999999999997E-2</v>
      </c>
      <c r="S103" s="192" t="str" cm="1">
        <f t="array" ref="S103">Common_InputFunctions.Utility_DisplayArrayInTable(Fertiliser_SourceData.Fertiliser_Products_Data1(), FertiliserProducts[[#Headers],[Company]],1)</f>
        <v>Potassium - Generic</v>
      </c>
      <c r="T103" s="192" cm="1">
        <f t="array" ref="T103">Common_InputFunctions.Utility_DisplayArrayInTable(Fertiliser_SourceData.Fertiliser_Products_Data1(), FertiliserProducts[[#Headers],[Company]],1)</f>
        <v>0.125</v>
      </c>
      <c r="U103" s="192" t="str" cm="1">
        <f t="array" ref="U103">Common_InputFunctions.Utility_DisplayArrayInTable(Fertiliser_SourceData.Fertiliser_Products_Data1(), FertiliserProducts[[#Headers],[Company]],1)</f>
        <v>Phosphorus - Generic</v>
      </c>
      <c r="V103" s="192" cm="1">
        <f t="array" ref="V103">Common_InputFunctions.Utility_DisplayArrayInTable(Fertiliser_SourceData.Fertiliser_Products_Data1(), FertiliserProducts[[#Headers],[Company]],1)</f>
        <v>6.5000000000000002E-2</v>
      </c>
      <c r="W103" s="192" t="str" cm="1">
        <f t="array" ref="W103">Common_InputFunctions.Utility_DisplayArrayInTable(Fertiliser_SourceData.Fertiliser_Products_Data1(), FertiliserProducts[[#Headers],[Company]],1)</f>
        <v>Sulfur - Generic</v>
      </c>
      <c r="X103" s="192" cm="1">
        <f t="array" ref="X103">Common_InputFunctions.Utility_DisplayArrayInTable(Fertiliser_SourceData.Fertiliser_Products_Data1(), FertiliserProducts[[#Headers],[Company]],1)</f>
        <v>0.06</v>
      </c>
      <c r="Y103" s="192" t="str" cm="1">
        <f t="array" ref="Y103">Common_InputFunctions.Utility_DisplayArrayInTable(Fertiliser_SourceData.Fertiliser_Products_Data1(), FertiliserProducts[[#Headers],[Company]],1)</f>
        <v/>
      </c>
      <c r="Z103" s="192" t="str" cm="1">
        <f t="array" ref="Z103">Common_InputFunctions.Utility_DisplayArrayInTable(Fertiliser_SourceData.Fertiliser_Products_Data1(), FertiliserProducts[[#Headers],[Company]],1)</f>
        <v/>
      </c>
      <c r="AA103" s="192" t="str" cm="1">
        <f t="array" ref="AA103">Common_InputFunctions.Utility_DisplayArrayInTable(Fertiliser_SourceData.Fertiliser_Products_Data1(), FertiliserProducts[[#Headers],[Company]],1)</f>
        <v/>
      </c>
      <c r="AB103" s="192" t="str" cm="1">
        <f t="array" ref="AB103">Common_InputFunctions.Utility_DisplayArrayInTable(Fertiliser_SourceData.Fertiliser_Products_Data1(), FertiliserProducts[[#Headers],[Company]],1)</f>
        <v/>
      </c>
      <c r="AC103" s="192" t="str" cm="1">
        <f t="array" ref="AC103">Common_InputFunctions.Utility_DisplayArrayInTable(Fertiliser_SourceData.Fertiliser_Products_Data1(), FertiliserProducts[[#Headers],[Company]],1)</f>
        <v/>
      </c>
      <c r="AD103" s="192" t="str" cm="1">
        <f t="array" ref="AD103">Common_InputFunctions.Utility_DisplayArrayInTable(Fertiliser_SourceData.Fertiliser_Products_Data1(), FertiliserProducts[[#Headers],[Company]],1)</f>
        <v/>
      </c>
      <c r="AE103" s="192" t="str" cm="1">
        <f t="array" ref="AE103">Common_InputFunctions.Utility_DisplayArrayInTable(Fertiliser_SourceData.Fertiliser_Products_Data1(), FertiliserProducts[[#Headers],[Company]],1)</f>
        <v/>
      </c>
      <c r="AF103" s="192" t="str" cm="1">
        <f t="array" ref="AF103">Common_InputFunctions.Utility_DisplayArrayInTable(Fertiliser_SourceData.Fertiliser_Products_Data1(), FertiliserProducts[[#Headers],[Company]],1)</f>
        <v/>
      </c>
      <c r="AG103" s="192" t="str" cm="1">
        <f t="array" ref="AG103">Common_InputFunctions.Utility_DisplayArrayInTable(Fertiliser_SourceData.Fertiliser_Products_Data1(), FertiliserProducts[[#Headers],[Company]],1)</f>
        <v/>
      </c>
      <c r="AH103" s="192" t="str" cm="1">
        <f t="array" ref="AH103">Common_InputFunctions.Utility_DisplayArrayInTable(Fertiliser_SourceData.Fertiliser_Products_Data1(), FertiliserProducts[[#Headers],[Company]],1)</f>
        <v/>
      </c>
      <c r="AK103" s="1"/>
      <c r="AL103" s="1"/>
      <c r="AM103" s="1"/>
    </row>
    <row r="104" spans="4:39" ht="20.100000000000001" customHeight="1" x14ac:dyDescent="0.25">
      <c r="D104" s="192" t="str" cm="1">
        <f t="array" ref="D104">Common_InputFunctions.Utility_DisplayArrayInTable(Fertiliser_SourceData.Fertiliser_Products_Data1(), FertiliserProducts[[#Headers],[Company]],1)</f>
        <v>Campbells fertilisers Australia</v>
      </c>
      <c r="E104" s="192" t="str" cm="1">
        <f t="array" ref="E104">Common_InputFunctions.Utility_DisplayArrayInTable(Fertiliser_SourceData.Fertiliser_Products_Data1(), FertiliserProducts[[#Headers],[Company]],1)</f>
        <v>CoRoN 12-0-10</v>
      </c>
      <c r="F104" s="192" t="str" cm="1">
        <f t="array" ref="F104">Common_InputFunctions.Utility_DisplayArrayInTable(Fertiliser_SourceData.Fertiliser_Products_Data1(), FertiliserProducts[[#Headers],[Company]],1)</f>
        <v>L</v>
      </c>
      <c r="G104" s="192" cm="1">
        <f t="array" ref="G104">Common_InputFunctions.Utility_DisplayArrayInTable(Fertiliser_SourceData.Fertiliser_Products_Data1(), FertiliserProducts[[#Headers],[Company]],1)</f>
        <v>1.2150000000000001</v>
      </c>
      <c r="H104" s="192" t="str" cm="1">
        <f t="array" ref="H104">Common_InputFunctions.Utility_DisplayArrayInTable(Fertiliser_SourceData.Fertiliser_Products_Data1(), FertiliserProducts[[#Headers],[Company]],1)</f>
        <v/>
      </c>
      <c r="I104" s="192" t="str" cm="1">
        <f t="array" ref="I104">Common_InputFunctions.Utility_DisplayArrayInTable(Fertiliser_SourceData.Fertiliser_Products_Data1(), FertiliserProducts[[#Headers],[Company]],1)</f>
        <v/>
      </c>
      <c r="J104" s="192" t="str" cm="1">
        <f t="array" ref="J104">Common_InputFunctions.Utility_DisplayArrayInTable(Fertiliser_SourceData.Fertiliser_Products_Data1(), FertiliserProducts[[#Headers],[Company]],1)</f>
        <v/>
      </c>
      <c r="K104" s="192" cm="1">
        <f t="array" ref="K104">Common_InputFunctions.Utility_DisplayArrayInTable(Fertiliser_SourceData.Fertiliser_Products_Data1(), FertiliserProducts[[#Headers],[Company]],1)</f>
        <v>12</v>
      </c>
      <c r="L104" s="192" t="str" cm="1">
        <f t="array" ref="L104">Common_InputFunctions.Utility_DisplayArrayInTable(Fertiliser_SourceData.Fertiliser_Products_Data1(), FertiliserProducts[[#Headers],[Company]],1)</f>
        <v/>
      </c>
      <c r="M104" s="192" cm="1">
        <f t="array" ref="M104">Common_InputFunctions.Utility_DisplayArrayInTable(Fertiliser_SourceData.Fertiliser_Products_Data1(), FertiliserProducts[[#Headers],[Company]],1)</f>
        <v>10</v>
      </c>
      <c r="N104" s="192" t="str" cm="1">
        <f t="array" ref="N104">Common_InputFunctions.Utility_DisplayArrayInTable(Fertiliser_SourceData.Fertiliser_Products_Data1(), FertiliserProducts[[#Headers],[Company]],1)</f>
        <v/>
      </c>
      <c r="O104" s="192" t="str" cm="1">
        <f t="array" ref="O104">Common_InputFunctions.Utility_DisplayArrayInTable(Fertiliser_SourceData.Fertiliser_Products_Data1(), FertiliserProducts[[#Headers],[Company]],1)</f>
        <v>Urea</v>
      </c>
      <c r="P104" s="192" cm="1">
        <f t="array" ref="P104">Common_InputFunctions.Utility_DisplayArrayInTable(Fertiliser_SourceData.Fertiliser_Products_Data1(), FertiliserProducts[[#Headers],[Company]],1)</f>
        <v>0.19565199999999999</v>
      </c>
      <c r="Q104" s="192" t="str" cm="1">
        <f t="array" ref="Q104">Common_InputFunctions.Utility_DisplayArrayInTable(Fertiliser_SourceData.Fertiliser_Products_Data1(), FertiliserProducts[[#Headers],[Company]],1)</f>
        <v>Potassium - Generic</v>
      </c>
      <c r="R104" s="192" cm="1">
        <f t="array" ref="R104">Common_InputFunctions.Utility_DisplayArrayInTable(Fertiliser_SourceData.Fertiliser_Products_Data1(), FertiliserProducts[[#Headers],[Company]],1)</f>
        <v>0.1</v>
      </c>
      <c r="S104" s="192" t="str" cm="1">
        <f t="array" ref="S104">Common_InputFunctions.Utility_DisplayArrayInTable(Fertiliser_SourceData.Fertiliser_Products_Data1(), FertiliserProducts[[#Headers],[Company]],1)</f>
        <v>Nitrogen - Generic</v>
      </c>
      <c r="T104" s="192" cm="1">
        <f t="array" ref="T104">Common_InputFunctions.Utility_DisplayArrayInTable(Fertiliser_SourceData.Fertiliser_Products_Data1(), FertiliserProducts[[#Headers],[Company]],1)</f>
        <v>0.03</v>
      </c>
      <c r="U104" s="192" t="str" cm="1">
        <f t="array" ref="U104">Common_InputFunctions.Utility_DisplayArrayInTable(Fertiliser_SourceData.Fertiliser_Products_Data1(), FertiliserProducts[[#Headers],[Company]],1)</f>
        <v>Boron</v>
      </c>
      <c r="V104" s="192" cm="1">
        <f t="array" ref="V104">Common_InputFunctions.Utility_DisplayArrayInTable(Fertiliser_SourceData.Fertiliser_Products_Data1(), FertiliserProducts[[#Headers],[Company]],1)</f>
        <v>5.0000000000000001E-3</v>
      </c>
      <c r="W104" s="192" t="str" cm="1">
        <f t="array" ref="W104">Common_InputFunctions.Utility_DisplayArrayInTable(Fertiliser_SourceData.Fertiliser_Products_Data1(), FertiliserProducts[[#Headers],[Company]],1)</f>
        <v/>
      </c>
      <c r="X104" s="192" t="str" cm="1">
        <f t="array" ref="X104">Common_InputFunctions.Utility_DisplayArrayInTable(Fertiliser_SourceData.Fertiliser_Products_Data1(), FertiliserProducts[[#Headers],[Company]],1)</f>
        <v/>
      </c>
      <c r="Y104" s="192" t="str" cm="1">
        <f t="array" ref="Y104">Common_InputFunctions.Utility_DisplayArrayInTable(Fertiliser_SourceData.Fertiliser_Products_Data1(), FertiliserProducts[[#Headers],[Company]],1)</f>
        <v/>
      </c>
      <c r="Z104" s="192" t="str" cm="1">
        <f t="array" ref="Z104">Common_InputFunctions.Utility_DisplayArrayInTable(Fertiliser_SourceData.Fertiliser_Products_Data1(), FertiliserProducts[[#Headers],[Company]],1)</f>
        <v/>
      </c>
      <c r="AA104" s="192" t="str" cm="1">
        <f t="array" ref="AA104">Common_InputFunctions.Utility_DisplayArrayInTable(Fertiliser_SourceData.Fertiliser_Products_Data1(), FertiliserProducts[[#Headers],[Company]],1)</f>
        <v/>
      </c>
      <c r="AB104" s="192" t="str" cm="1">
        <f t="array" ref="AB104">Common_InputFunctions.Utility_DisplayArrayInTable(Fertiliser_SourceData.Fertiliser_Products_Data1(), FertiliserProducts[[#Headers],[Company]],1)</f>
        <v/>
      </c>
      <c r="AC104" s="192" t="str" cm="1">
        <f t="array" ref="AC104">Common_InputFunctions.Utility_DisplayArrayInTable(Fertiliser_SourceData.Fertiliser_Products_Data1(), FertiliserProducts[[#Headers],[Company]],1)</f>
        <v/>
      </c>
      <c r="AD104" s="192" t="str" cm="1">
        <f t="array" ref="AD104">Common_InputFunctions.Utility_DisplayArrayInTable(Fertiliser_SourceData.Fertiliser_Products_Data1(), FertiliserProducts[[#Headers],[Company]],1)</f>
        <v/>
      </c>
      <c r="AE104" s="192" t="str" cm="1">
        <f t="array" ref="AE104">Common_InputFunctions.Utility_DisplayArrayInTable(Fertiliser_SourceData.Fertiliser_Products_Data1(), FertiliserProducts[[#Headers],[Company]],1)</f>
        <v/>
      </c>
      <c r="AF104" s="192" t="str" cm="1">
        <f t="array" ref="AF104">Common_InputFunctions.Utility_DisplayArrayInTable(Fertiliser_SourceData.Fertiliser_Products_Data1(), FertiliserProducts[[#Headers],[Company]],1)</f>
        <v/>
      </c>
      <c r="AG104" s="192" t="str" cm="1">
        <f t="array" ref="AG104">Common_InputFunctions.Utility_DisplayArrayInTable(Fertiliser_SourceData.Fertiliser_Products_Data1(), FertiliserProducts[[#Headers],[Company]],1)</f>
        <v/>
      </c>
      <c r="AH104" s="192" t="str" cm="1">
        <f t="array" ref="AH104">Common_InputFunctions.Utility_DisplayArrayInTable(Fertiliser_SourceData.Fertiliser_Products_Data1(), FertiliserProducts[[#Headers],[Company]],1)</f>
        <v/>
      </c>
      <c r="AK104" s="1"/>
      <c r="AL104" s="1"/>
      <c r="AM104" s="1"/>
    </row>
    <row r="105" spans="4:39" ht="20.100000000000001" customHeight="1" x14ac:dyDescent="0.25">
      <c r="D105" s="192" t="str" cm="1">
        <f t="array" ref="D105">Common_InputFunctions.Utility_DisplayArrayInTable(Fertiliser_SourceData.Fertiliser_Products_Data1(), FertiliserProducts[[#Headers],[Company]],1)</f>
        <v>Campbells fertilisers Australia</v>
      </c>
      <c r="E105" s="192" t="str" cm="1">
        <f t="array" ref="E105">Common_InputFunctions.Utility_DisplayArrayInTable(Fertiliser_SourceData.Fertiliser_Products_Data1(), FertiliserProducts[[#Headers],[Company]],1)</f>
        <v>Maximum Quick-N</v>
      </c>
      <c r="F105" s="192" t="str" cm="1">
        <f t="array" ref="F105">Common_InputFunctions.Utility_DisplayArrayInTable(Fertiliser_SourceData.Fertiliser_Products_Data1(), FertiliserProducts[[#Headers],[Company]],1)</f>
        <v>kg</v>
      </c>
      <c r="G105" s="192" cm="1">
        <f t="array" ref="G105">Common_InputFunctions.Utility_DisplayArrayInTable(Fertiliser_SourceData.Fertiliser_Products_Data1(), FertiliserProducts[[#Headers],[Company]],1)</f>
        <v>1</v>
      </c>
      <c r="H105" s="192" t="str" cm="1">
        <f t="array" ref="H105">Common_InputFunctions.Utility_DisplayArrayInTable(Fertiliser_SourceData.Fertiliser_Products_Data1(), FertiliserProducts[[#Headers],[Company]],1)</f>
        <v/>
      </c>
      <c r="I105" s="192" t="str" cm="1">
        <f t="array" ref="I105">Common_InputFunctions.Utility_DisplayArrayInTable(Fertiliser_SourceData.Fertiliser_Products_Data1(), FertiliserProducts[[#Headers],[Company]],1)</f>
        <v/>
      </c>
      <c r="J105" s="192" t="str" cm="1">
        <f t="array" ref="J105">Common_InputFunctions.Utility_DisplayArrayInTable(Fertiliser_SourceData.Fertiliser_Products_Data1(), FertiliserProducts[[#Headers],[Company]],1)</f>
        <v/>
      </c>
      <c r="K105" s="192" cm="1">
        <f t="array" ref="K105">Common_InputFunctions.Utility_DisplayArrayInTable(Fertiliser_SourceData.Fertiliser_Products_Data1(), FertiliserProducts[[#Headers],[Company]],1)</f>
        <v>21.66</v>
      </c>
      <c r="L105" s="192" t="str" cm="1">
        <f t="array" ref="L105">Common_InputFunctions.Utility_DisplayArrayInTable(Fertiliser_SourceData.Fertiliser_Products_Data1(), FertiliserProducts[[#Headers],[Company]],1)</f>
        <v/>
      </c>
      <c r="M105" s="192" t="str" cm="1">
        <f t="array" ref="M105">Common_InputFunctions.Utility_DisplayArrayInTable(Fertiliser_SourceData.Fertiliser_Products_Data1(), FertiliserProducts[[#Headers],[Company]],1)</f>
        <v/>
      </c>
      <c r="N105" s="192" cm="1">
        <f t="array" ref="N105">Common_InputFunctions.Utility_DisplayArrayInTable(Fertiliser_SourceData.Fertiliser_Products_Data1(), FertiliserProducts[[#Headers],[Company]],1)</f>
        <v>13.2</v>
      </c>
      <c r="O105" s="192" t="str" cm="1">
        <f t="array" ref="O105">Common_InputFunctions.Utility_DisplayArrayInTable(Fertiliser_SourceData.Fertiliser_Products_Data1(), FertiliserProducts[[#Headers],[Company]],1)</f>
        <v>Sulphate of ammonia (SOA)</v>
      </c>
      <c r="P105" s="192" cm="1">
        <f t="array" ref="P105">Common_InputFunctions.Utility_DisplayArrayInTable(Fertiliser_SourceData.Fertiliser_Products_Data1(), FertiliserProducts[[#Headers],[Company]],1)</f>
        <v>0.55000000000000004</v>
      </c>
      <c r="Q105" s="192" t="str" cm="1">
        <f t="array" ref="Q105">Common_InputFunctions.Utility_DisplayArrayInTable(Fertiliser_SourceData.Fertiliser_Products_Data1(), FertiliserProducts[[#Headers],[Company]],1)</f>
        <v>Ammonium nitrate (AN)</v>
      </c>
      <c r="R105" s="192" cm="1">
        <f t="array" ref="R105">Common_InputFunctions.Utility_DisplayArrayInTable(Fertiliser_SourceData.Fertiliser_Products_Data1(), FertiliserProducts[[#Headers],[Company]],1)</f>
        <v>0.3</v>
      </c>
      <c r="S105" s="192" t="str" cm="1">
        <f t="array" ref="S105">Common_InputFunctions.Utility_DisplayArrayInTable(Fertiliser_SourceData.Fertiliser_Products_Data1(), FertiliserProducts[[#Headers],[Company]],1)</f>
        <v/>
      </c>
      <c r="T105" s="192" t="str" cm="1">
        <f t="array" ref="T105">Common_InputFunctions.Utility_DisplayArrayInTable(Fertiliser_SourceData.Fertiliser_Products_Data1(), FertiliserProducts[[#Headers],[Company]],1)</f>
        <v/>
      </c>
      <c r="U105" s="192" t="str" cm="1">
        <f t="array" ref="U105">Common_InputFunctions.Utility_DisplayArrayInTable(Fertiliser_SourceData.Fertiliser_Products_Data1(), FertiliserProducts[[#Headers],[Company]],1)</f>
        <v/>
      </c>
      <c r="V105" s="192" t="str" cm="1">
        <f t="array" ref="V105">Common_InputFunctions.Utility_DisplayArrayInTable(Fertiliser_SourceData.Fertiliser_Products_Data1(), FertiliserProducts[[#Headers],[Company]],1)</f>
        <v/>
      </c>
      <c r="W105" s="192" t="str" cm="1">
        <f t="array" ref="W105">Common_InputFunctions.Utility_DisplayArrayInTable(Fertiliser_SourceData.Fertiliser_Products_Data1(), FertiliserProducts[[#Headers],[Company]],1)</f>
        <v/>
      </c>
      <c r="X105" s="192" t="str" cm="1">
        <f t="array" ref="X105">Common_InputFunctions.Utility_DisplayArrayInTable(Fertiliser_SourceData.Fertiliser_Products_Data1(), FertiliserProducts[[#Headers],[Company]],1)</f>
        <v/>
      </c>
      <c r="Y105" s="192" t="str" cm="1">
        <f t="array" ref="Y105">Common_InputFunctions.Utility_DisplayArrayInTable(Fertiliser_SourceData.Fertiliser_Products_Data1(), FertiliserProducts[[#Headers],[Company]],1)</f>
        <v/>
      </c>
      <c r="Z105" s="192" t="str" cm="1">
        <f t="array" ref="Z105">Common_InputFunctions.Utility_DisplayArrayInTable(Fertiliser_SourceData.Fertiliser_Products_Data1(), FertiliserProducts[[#Headers],[Company]],1)</f>
        <v/>
      </c>
      <c r="AA105" s="192" t="str" cm="1">
        <f t="array" ref="AA105">Common_InputFunctions.Utility_DisplayArrayInTable(Fertiliser_SourceData.Fertiliser_Products_Data1(), FertiliserProducts[[#Headers],[Company]],1)</f>
        <v/>
      </c>
      <c r="AB105" s="192" t="str" cm="1">
        <f t="array" ref="AB105">Common_InputFunctions.Utility_DisplayArrayInTable(Fertiliser_SourceData.Fertiliser_Products_Data1(), FertiliserProducts[[#Headers],[Company]],1)</f>
        <v/>
      </c>
      <c r="AC105" s="192" t="str" cm="1">
        <f t="array" ref="AC105">Common_InputFunctions.Utility_DisplayArrayInTable(Fertiliser_SourceData.Fertiliser_Products_Data1(), FertiliserProducts[[#Headers],[Company]],1)</f>
        <v/>
      </c>
      <c r="AD105" s="192" t="str" cm="1">
        <f t="array" ref="AD105">Common_InputFunctions.Utility_DisplayArrayInTable(Fertiliser_SourceData.Fertiliser_Products_Data1(), FertiliserProducts[[#Headers],[Company]],1)</f>
        <v/>
      </c>
      <c r="AE105" s="192" t="str" cm="1">
        <f t="array" ref="AE105">Common_InputFunctions.Utility_DisplayArrayInTable(Fertiliser_SourceData.Fertiliser_Products_Data1(), FertiliserProducts[[#Headers],[Company]],1)</f>
        <v/>
      </c>
      <c r="AF105" s="192" t="str" cm="1">
        <f t="array" ref="AF105">Common_InputFunctions.Utility_DisplayArrayInTable(Fertiliser_SourceData.Fertiliser_Products_Data1(), FertiliserProducts[[#Headers],[Company]],1)</f>
        <v/>
      </c>
      <c r="AG105" s="192" t="str" cm="1">
        <f t="array" ref="AG105">Common_InputFunctions.Utility_DisplayArrayInTable(Fertiliser_SourceData.Fertiliser_Products_Data1(), FertiliserProducts[[#Headers],[Company]],1)</f>
        <v/>
      </c>
      <c r="AH105" s="192" t="str" cm="1">
        <f t="array" ref="AH105">Common_InputFunctions.Utility_DisplayArrayInTable(Fertiliser_SourceData.Fertiliser_Products_Data1(), FertiliserProducts[[#Headers],[Company]],1)</f>
        <v/>
      </c>
      <c r="AK105" s="1"/>
      <c r="AL105" s="1"/>
      <c r="AM105" s="1"/>
    </row>
    <row r="106" spans="4:39" ht="20.100000000000001" customHeight="1" x14ac:dyDescent="0.25">
      <c r="D106" s="192" t="str" cm="1">
        <f t="array" ref="D106">Common_InputFunctions.Utility_DisplayArrayInTable(Fertiliser_SourceData.Fertiliser_Products_Data1(), FertiliserProducts[[#Headers],[Company]],1)</f>
        <v>SL Tec</v>
      </c>
      <c r="E106" s="192" t="str" cm="1">
        <f t="array" ref="E106">Common_InputFunctions.Utility_DisplayArrayInTable(Fertiliser_SourceData.Fertiliser_Products_Data1(), FertiliserProducts[[#Headers],[Company]],1)</f>
        <v>Crop Booster PLUS</v>
      </c>
      <c r="F106" s="192" t="str" cm="1">
        <f t="array" ref="F106">Common_InputFunctions.Utility_DisplayArrayInTable(Fertiliser_SourceData.Fertiliser_Products_Data1(), FertiliserProducts[[#Headers],[Company]],1)</f>
        <v>L</v>
      </c>
      <c r="G106" s="192" cm="1">
        <f t="array" ref="G106">Common_InputFunctions.Utility_DisplayArrayInTable(Fertiliser_SourceData.Fertiliser_Products_Data1(), FertiliserProducts[[#Headers],[Company]],1)</f>
        <v>1.319</v>
      </c>
      <c r="H106" s="192" t="str" cm="1">
        <f t="array" ref="H106">Common_InputFunctions.Utility_DisplayArrayInTable(Fertiliser_SourceData.Fertiliser_Products_Data1(), FertiliserProducts[[#Headers],[Company]],1)</f>
        <v/>
      </c>
      <c r="I106" s="192" t="str" cm="1">
        <f t="array" ref="I106">Common_InputFunctions.Utility_DisplayArrayInTable(Fertiliser_SourceData.Fertiliser_Products_Data1(), FertiliserProducts[[#Headers],[Company]],1)</f>
        <v/>
      </c>
      <c r="J106" s="192" t="str" cm="1">
        <f t="array" ref="J106">Common_InputFunctions.Utility_DisplayArrayInTable(Fertiliser_SourceData.Fertiliser_Products_Data1(), FertiliserProducts[[#Headers],[Company]],1)</f>
        <v/>
      </c>
      <c r="K106" s="192" cm="1">
        <f t="array" ref="K106">Common_InputFunctions.Utility_DisplayArrayInTable(Fertiliser_SourceData.Fertiliser_Products_Data1(), FertiliserProducts[[#Headers],[Company]],1)</f>
        <v>5</v>
      </c>
      <c r="L106" s="192" cm="1">
        <f t="array" ref="L106">Common_InputFunctions.Utility_DisplayArrayInTable(Fertiliser_SourceData.Fertiliser_Products_Data1(), FertiliserProducts[[#Headers],[Company]],1)</f>
        <v>15</v>
      </c>
      <c r="M106" s="192" cm="1">
        <f t="array" ref="M106">Common_InputFunctions.Utility_DisplayArrayInTable(Fertiliser_SourceData.Fertiliser_Products_Data1(), FertiliserProducts[[#Headers],[Company]],1)</f>
        <v>2.1</v>
      </c>
      <c r="N106" s="192" t="str" cm="1">
        <f t="array" ref="N106">Common_InputFunctions.Utility_DisplayArrayInTable(Fertiliser_SourceData.Fertiliser_Products_Data1(), FertiliserProducts[[#Headers],[Company]],1)</f>
        <v/>
      </c>
      <c r="O106" s="192" t="str" cm="1">
        <f t="array" ref="O106">Common_InputFunctions.Utility_DisplayArrayInTable(Fertiliser_SourceData.Fertiliser_Products_Data1(), FertiliserProducts[[#Headers],[Company]],1)</f>
        <v>Phosphorus - Generic</v>
      </c>
      <c r="P106" s="192" cm="1">
        <f t="array" ref="P106">Common_InputFunctions.Utility_DisplayArrayInTable(Fertiliser_SourceData.Fertiliser_Products_Data1(), FertiliserProducts[[#Headers],[Company]],1)</f>
        <v>0.15</v>
      </c>
      <c r="Q106" s="192" t="str" cm="1">
        <f t="array" ref="Q106">Common_InputFunctions.Utility_DisplayArrayInTable(Fertiliser_SourceData.Fertiliser_Products_Data1(), FertiliserProducts[[#Headers],[Company]],1)</f>
        <v>Calcium</v>
      </c>
      <c r="R106" s="192" cm="1">
        <f t="array" ref="R106">Common_InputFunctions.Utility_DisplayArrayInTable(Fertiliser_SourceData.Fertiliser_Products_Data1(), FertiliserProducts[[#Headers],[Company]],1)</f>
        <v>0.04</v>
      </c>
      <c r="S106" s="192" t="str" cm="1">
        <f t="array" ref="S106">Common_InputFunctions.Utility_DisplayArrayInTable(Fertiliser_SourceData.Fertiliser_Products_Data1(), FertiliserProducts[[#Headers],[Company]],1)</f>
        <v>Nitrogen - Ammoniacal</v>
      </c>
      <c r="T106" s="192" cm="1">
        <f t="array" ref="T106">Common_InputFunctions.Utility_DisplayArrayInTable(Fertiliser_SourceData.Fertiliser_Products_Data1(), FertiliserProducts[[#Headers],[Company]],1)</f>
        <v>2.9000000000000001E-2</v>
      </c>
      <c r="U106" s="192" t="str" cm="1">
        <f t="array" ref="U106">Common_InputFunctions.Utility_DisplayArrayInTable(Fertiliser_SourceData.Fertiliser_Products_Data1(), FertiliserProducts[[#Headers],[Company]],1)</f>
        <v>Nitrogen - Nitrate</v>
      </c>
      <c r="V106" s="192" cm="1">
        <f t="array" ref="V106">Common_InputFunctions.Utility_DisplayArrayInTable(Fertiliser_SourceData.Fertiliser_Products_Data1(), FertiliserProducts[[#Headers],[Company]],1)</f>
        <v>2.1000000000000001E-2</v>
      </c>
      <c r="W106" s="192" t="str" cm="1">
        <f t="array" ref="W106">Common_InputFunctions.Utility_DisplayArrayInTable(Fertiliser_SourceData.Fertiliser_Products_Data1(), FertiliserProducts[[#Headers],[Company]],1)</f>
        <v>Potassium - Generic</v>
      </c>
      <c r="X106" s="192" cm="1">
        <f t="array" ref="X106">Common_InputFunctions.Utility_DisplayArrayInTable(Fertiliser_SourceData.Fertiliser_Products_Data1(), FertiliserProducts[[#Headers],[Company]],1)</f>
        <v>2.1000000000000001E-2</v>
      </c>
      <c r="Y106" s="192" t="str" cm="1">
        <f t="array" ref="Y106">Common_InputFunctions.Utility_DisplayArrayInTable(Fertiliser_SourceData.Fertiliser_Products_Data1(), FertiliserProducts[[#Headers],[Company]],1)</f>
        <v>Copper</v>
      </c>
      <c r="Z106" s="192" cm="1">
        <f t="array" ref="Z106">Common_InputFunctions.Utility_DisplayArrayInTable(Fertiliser_SourceData.Fertiliser_Products_Data1(), FertiliserProducts[[#Headers],[Company]],1)</f>
        <v>5.0000000000000001E-3</v>
      </c>
      <c r="AA106" s="192" t="str" cm="1">
        <f t="array" ref="AA106">Common_InputFunctions.Utility_DisplayArrayInTable(Fertiliser_SourceData.Fertiliser_Products_Data1(), FertiliserProducts[[#Headers],[Company]],1)</f>
        <v>Zinc</v>
      </c>
      <c r="AB106" s="192" cm="1">
        <f t="array" ref="AB106">Common_InputFunctions.Utility_DisplayArrayInTable(Fertiliser_SourceData.Fertiliser_Products_Data1(), FertiliserProducts[[#Headers],[Company]],1)</f>
        <v>4.0000000000000001E-3</v>
      </c>
      <c r="AC106" s="192" t="str" cm="1">
        <f t="array" ref="AC106">Common_InputFunctions.Utility_DisplayArrayInTable(Fertiliser_SourceData.Fertiliser_Products_Data1(), FertiliserProducts[[#Headers],[Company]],1)</f>
        <v>Manganese</v>
      </c>
      <c r="AD106" s="192" cm="1">
        <f t="array" ref="AD106">Common_InputFunctions.Utility_DisplayArrayInTable(Fertiliser_SourceData.Fertiliser_Products_Data1(), FertiliserProducts[[#Headers],[Company]],1)</f>
        <v>4.0000000000000001E-3</v>
      </c>
      <c r="AE106" s="192" t="str" cm="1">
        <f t="array" ref="AE106">Common_InputFunctions.Utility_DisplayArrayInTable(Fertiliser_SourceData.Fertiliser_Products_Data1(), FertiliserProducts[[#Headers],[Company]],1)</f>
        <v>Magnesium</v>
      </c>
      <c r="AF106" s="192" cm="1">
        <f t="array" ref="AF106">Common_InputFunctions.Utility_DisplayArrayInTable(Fertiliser_SourceData.Fertiliser_Products_Data1(), FertiliserProducts[[#Headers],[Company]],1)</f>
        <v>2E-3</v>
      </c>
      <c r="AG106" s="192" t="str" cm="1">
        <f t="array" ref="AG106">Common_InputFunctions.Utility_DisplayArrayInTable(Fertiliser_SourceData.Fertiliser_Products_Data1(), FertiliserProducts[[#Headers],[Company]],1)</f>
        <v/>
      </c>
      <c r="AH106" s="192" t="str" cm="1">
        <f t="array" ref="AH106">Common_InputFunctions.Utility_DisplayArrayInTable(Fertiliser_SourceData.Fertiliser_Products_Data1(), FertiliserProducts[[#Headers],[Company]],1)</f>
        <v/>
      </c>
      <c r="AK106" s="1"/>
      <c r="AL106" s="1"/>
      <c r="AM106" s="1"/>
    </row>
    <row r="107" spans="4:39" ht="20.100000000000001" customHeight="1" x14ac:dyDescent="0.25">
      <c r="D107" s="192" t="str" cm="1">
        <f t="array" ref="D107">Common_InputFunctions.Utility_DisplayArrayInTable(Fertiliser_SourceData.Fertiliser_Products_Data1(), FertiliserProducts[[#Headers],[Company]],1)</f>
        <v>Risso-Chemical</v>
      </c>
      <c r="E107" s="192" t="str" cm="1">
        <f t="array" ref="E107">Common_InputFunctions.Utility_DisplayArrayInTable(Fertiliser_SourceData.Fertiliser_Products_Data1(), FertiliserProducts[[#Headers],[Company]],1)</f>
        <v>Ammonium Bicarbonate</v>
      </c>
      <c r="F107" s="192" t="str" cm="1">
        <f t="array" ref="F107">Common_InputFunctions.Utility_DisplayArrayInTable(Fertiliser_SourceData.Fertiliser_Products_Data1(), FertiliserProducts[[#Headers],[Company]],1)</f>
        <v>kg</v>
      </c>
      <c r="G107" s="192" cm="1">
        <f t="array" ref="G107">Common_InputFunctions.Utility_DisplayArrayInTable(Fertiliser_SourceData.Fertiliser_Products_Data1(), FertiliserProducts[[#Headers],[Company]],1)</f>
        <v>1</v>
      </c>
      <c r="H107" s="192" t="str" cm="1">
        <f t="array" ref="H107">Common_InputFunctions.Utility_DisplayArrayInTable(Fertiliser_SourceData.Fertiliser_Products_Data1(), FertiliserProducts[[#Headers],[Company]],1)</f>
        <v/>
      </c>
      <c r="I107" s="192" t="str" cm="1">
        <f t="array" ref="I107">Common_InputFunctions.Utility_DisplayArrayInTable(Fertiliser_SourceData.Fertiliser_Products_Data1(), FertiliserProducts[[#Headers],[Company]],1)</f>
        <v/>
      </c>
      <c r="J107" s="192" t="str" cm="1">
        <f t="array" ref="J107">Common_InputFunctions.Utility_DisplayArrayInTable(Fertiliser_SourceData.Fertiliser_Products_Data1(), FertiliserProducts[[#Headers],[Company]],1)</f>
        <v>China</v>
      </c>
      <c r="K107" s="192" cm="1">
        <f t="array" ref="K107">Common_InputFunctions.Utility_DisplayArrayInTable(Fertiliser_SourceData.Fertiliser_Products_Data1(), FertiliserProducts[[#Headers],[Company]],1)</f>
        <v>17.7</v>
      </c>
      <c r="L107" s="192" t="str" cm="1">
        <f t="array" ref="L107">Common_InputFunctions.Utility_DisplayArrayInTable(Fertiliser_SourceData.Fertiliser_Products_Data1(), FertiliserProducts[[#Headers],[Company]],1)</f>
        <v/>
      </c>
      <c r="M107" s="192" t="str" cm="1">
        <f t="array" ref="M107">Common_InputFunctions.Utility_DisplayArrayInTable(Fertiliser_SourceData.Fertiliser_Products_Data1(), FertiliserProducts[[#Headers],[Company]],1)</f>
        <v/>
      </c>
      <c r="N107" s="192" t="str" cm="1">
        <f t="array" ref="N107">Common_InputFunctions.Utility_DisplayArrayInTable(Fertiliser_SourceData.Fertiliser_Products_Data1(), FertiliserProducts[[#Headers],[Company]],1)</f>
        <v/>
      </c>
      <c r="O107" s="192" t="str" cm="1">
        <f t="array" ref="O107">Common_InputFunctions.Utility_DisplayArrayInTable(Fertiliser_SourceData.Fertiliser_Products_Data1(), FertiliserProducts[[#Headers],[Company]],1)</f>
        <v>Nitrogen - Ammoniacal</v>
      </c>
      <c r="P107" s="192" cm="1">
        <f t="array" ref="P107">Common_InputFunctions.Utility_DisplayArrayInTable(Fertiliser_SourceData.Fertiliser_Products_Data1(), FertiliserProducts[[#Headers],[Company]],1)</f>
        <v>0.17699999999999999</v>
      </c>
      <c r="Q107" s="192" t="str" cm="1">
        <f t="array" ref="Q107">Common_InputFunctions.Utility_DisplayArrayInTable(Fertiliser_SourceData.Fertiliser_Products_Data1(), FertiliserProducts[[#Headers],[Company]],1)</f>
        <v/>
      </c>
      <c r="R107" s="192" t="str" cm="1">
        <f t="array" ref="R107">Common_InputFunctions.Utility_DisplayArrayInTable(Fertiliser_SourceData.Fertiliser_Products_Data1(), FertiliserProducts[[#Headers],[Company]],1)</f>
        <v/>
      </c>
      <c r="S107" s="192" t="str" cm="1">
        <f t="array" ref="S107">Common_InputFunctions.Utility_DisplayArrayInTable(Fertiliser_SourceData.Fertiliser_Products_Data1(), FertiliserProducts[[#Headers],[Company]],1)</f>
        <v/>
      </c>
      <c r="T107" s="192" t="str" cm="1">
        <f t="array" ref="T107">Common_InputFunctions.Utility_DisplayArrayInTable(Fertiliser_SourceData.Fertiliser_Products_Data1(), FertiliserProducts[[#Headers],[Company]],1)</f>
        <v/>
      </c>
      <c r="U107" s="192" t="str" cm="1">
        <f t="array" ref="U107">Common_InputFunctions.Utility_DisplayArrayInTable(Fertiliser_SourceData.Fertiliser_Products_Data1(), FertiliserProducts[[#Headers],[Company]],1)</f>
        <v/>
      </c>
      <c r="V107" s="192" t="str" cm="1">
        <f t="array" ref="V107">Common_InputFunctions.Utility_DisplayArrayInTable(Fertiliser_SourceData.Fertiliser_Products_Data1(), FertiliserProducts[[#Headers],[Company]],1)</f>
        <v/>
      </c>
      <c r="W107" s="192" t="str" cm="1">
        <f t="array" ref="W107">Common_InputFunctions.Utility_DisplayArrayInTable(Fertiliser_SourceData.Fertiliser_Products_Data1(), FertiliserProducts[[#Headers],[Company]],1)</f>
        <v/>
      </c>
      <c r="X107" s="192" t="str" cm="1">
        <f t="array" ref="X107">Common_InputFunctions.Utility_DisplayArrayInTable(Fertiliser_SourceData.Fertiliser_Products_Data1(), FertiliserProducts[[#Headers],[Company]],1)</f>
        <v/>
      </c>
      <c r="Y107" s="192" t="str" cm="1">
        <f t="array" ref="Y107">Common_InputFunctions.Utility_DisplayArrayInTable(Fertiliser_SourceData.Fertiliser_Products_Data1(), FertiliserProducts[[#Headers],[Company]],1)</f>
        <v/>
      </c>
      <c r="Z107" s="192" t="str" cm="1">
        <f t="array" ref="Z107">Common_InputFunctions.Utility_DisplayArrayInTable(Fertiliser_SourceData.Fertiliser_Products_Data1(), FertiliserProducts[[#Headers],[Company]],1)</f>
        <v/>
      </c>
      <c r="AA107" s="192" t="str" cm="1">
        <f t="array" ref="AA107">Common_InputFunctions.Utility_DisplayArrayInTable(Fertiliser_SourceData.Fertiliser_Products_Data1(), FertiliserProducts[[#Headers],[Company]],1)</f>
        <v/>
      </c>
      <c r="AB107" s="192" t="str" cm="1">
        <f t="array" ref="AB107">Common_InputFunctions.Utility_DisplayArrayInTable(Fertiliser_SourceData.Fertiliser_Products_Data1(), FertiliserProducts[[#Headers],[Company]],1)</f>
        <v/>
      </c>
      <c r="AC107" s="192" t="str" cm="1">
        <f t="array" ref="AC107">Common_InputFunctions.Utility_DisplayArrayInTable(Fertiliser_SourceData.Fertiliser_Products_Data1(), FertiliserProducts[[#Headers],[Company]],1)</f>
        <v/>
      </c>
      <c r="AD107" s="192" t="str" cm="1">
        <f t="array" ref="AD107">Common_InputFunctions.Utility_DisplayArrayInTable(Fertiliser_SourceData.Fertiliser_Products_Data1(), FertiliserProducts[[#Headers],[Company]],1)</f>
        <v/>
      </c>
      <c r="AE107" s="192" t="str" cm="1">
        <f t="array" ref="AE107">Common_InputFunctions.Utility_DisplayArrayInTable(Fertiliser_SourceData.Fertiliser_Products_Data1(), FertiliserProducts[[#Headers],[Company]],1)</f>
        <v/>
      </c>
      <c r="AF107" s="192" t="str" cm="1">
        <f t="array" ref="AF107">Common_InputFunctions.Utility_DisplayArrayInTable(Fertiliser_SourceData.Fertiliser_Products_Data1(), FertiliserProducts[[#Headers],[Company]],1)</f>
        <v/>
      </c>
      <c r="AG107" s="192" t="str" cm="1">
        <f t="array" ref="AG107">Common_InputFunctions.Utility_DisplayArrayInTable(Fertiliser_SourceData.Fertiliser_Products_Data1(), FertiliserProducts[[#Headers],[Company]],1)</f>
        <v/>
      </c>
      <c r="AH107" s="192" t="str" cm="1">
        <f t="array" ref="AH107">Common_InputFunctions.Utility_DisplayArrayInTable(Fertiliser_SourceData.Fertiliser_Products_Data1(), FertiliserProducts[[#Headers],[Company]],1)</f>
        <v/>
      </c>
      <c r="AK107" s="1"/>
      <c r="AL107" s="1"/>
      <c r="AM107" s="1"/>
    </row>
    <row r="108" spans="4:39" ht="20.100000000000001" customHeight="1" x14ac:dyDescent="0.25">
      <c r="D108" s="192" t="str" cm="1">
        <f t="array" ref="D108">Common_InputFunctions.Utility_DisplayArrayInTable(Fertiliser_SourceData.Fertiliser_Products_Data1(), FertiliserProducts[[#Headers],[Company]],1)</f>
        <v>Risso-Chemical</v>
      </c>
      <c r="E108" s="192" t="str" cm="1">
        <f t="array" ref="E108">Common_InputFunctions.Utility_DisplayArrayInTable(Fertiliser_SourceData.Fertiliser_Products_Data1(), FertiliserProducts[[#Headers],[Company]],1)</f>
        <v>Ammonium Sulfate</v>
      </c>
      <c r="F108" s="192" t="str" cm="1">
        <f t="array" ref="F108">Common_InputFunctions.Utility_DisplayArrayInTable(Fertiliser_SourceData.Fertiliser_Products_Data1(), FertiliserProducts[[#Headers],[Company]],1)</f>
        <v>kg</v>
      </c>
      <c r="G108" s="192" cm="1">
        <f t="array" ref="G108">Common_InputFunctions.Utility_DisplayArrayInTable(Fertiliser_SourceData.Fertiliser_Products_Data1(), FertiliserProducts[[#Headers],[Company]],1)</f>
        <v>1</v>
      </c>
      <c r="H108" s="192" t="str" cm="1">
        <f t="array" ref="H108">Common_InputFunctions.Utility_DisplayArrayInTable(Fertiliser_SourceData.Fertiliser_Products_Data1(), FertiliserProducts[[#Headers],[Company]],1)</f>
        <v/>
      </c>
      <c r="I108" s="192" t="str" cm="1">
        <f t="array" ref="I108">Common_InputFunctions.Utility_DisplayArrayInTable(Fertiliser_SourceData.Fertiliser_Products_Data1(), FertiliserProducts[[#Headers],[Company]],1)</f>
        <v/>
      </c>
      <c r="J108" s="192" t="str" cm="1">
        <f t="array" ref="J108">Common_InputFunctions.Utility_DisplayArrayInTable(Fertiliser_SourceData.Fertiliser_Products_Data1(), FertiliserProducts[[#Headers],[Company]],1)</f>
        <v>China</v>
      </c>
      <c r="K108" s="192" cm="1">
        <f t="array" ref="K108">Common_InputFunctions.Utility_DisplayArrayInTable(Fertiliser_SourceData.Fertiliser_Products_Data1(), FertiliserProducts[[#Headers],[Company]],1)</f>
        <v>21</v>
      </c>
      <c r="L108" s="192" t="str" cm="1">
        <f t="array" ref="L108">Common_InputFunctions.Utility_DisplayArrayInTable(Fertiliser_SourceData.Fertiliser_Products_Data1(), FertiliserProducts[[#Headers],[Company]],1)</f>
        <v/>
      </c>
      <c r="M108" s="192" t="str" cm="1">
        <f t="array" ref="M108">Common_InputFunctions.Utility_DisplayArrayInTable(Fertiliser_SourceData.Fertiliser_Products_Data1(), FertiliserProducts[[#Headers],[Company]],1)</f>
        <v/>
      </c>
      <c r="N108" s="192" cm="1">
        <f t="array" ref="N108">Common_InputFunctions.Utility_DisplayArrayInTable(Fertiliser_SourceData.Fertiliser_Products_Data1(), FertiliserProducts[[#Headers],[Company]],1)</f>
        <v>24</v>
      </c>
      <c r="O108" s="192" t="str" cm="1">
        <f t="array" ref="O108">Common_InputFunctions.Utility_DisplayArrayInTable(Fertiliser_SourceData.Fertiliser_Products_Data1(), FertiliserProducts[[#Headers],[Company]],1)</f>
        <v>Sulfur - Generic</v>
      </c>
      <c r="P108" s="192" cm="1">
        <f t="array" ref="P108">Common_InputFunctions.Utility_DisplayArrayInTable(Fertiliser_SourceData.Fertiliser_Products_Data1(), FertiliserProducts[[#Headers],[Company]],1)</f>
        <v>0.24</v>
      </c>
      <c r="Q108" s="192" t="str" cm="1">
        <f t="array" ref="Q108">Common_InputFunctions.Utility_DisplayArrayInTable(Fertiliser_SourceData.Fertiliser_Products_Data1(), FertiliserProducts[[#Headers],[Company]],1)</f>
        <v>Nitrogen - Ammoniacal</v>
      </c>
      <c r="R108" s="192" cm="1">
        <f t="array" ref="R108">Common_InputFunctions.Utility_DisplayArrayInTable(Fertiliser_SourceData.Fertiliser_Products_Data1(), FertiliserProducts[[#Headers],[Company]],1)</f>
        <v>0.21</v>
      </c>
      <c r="S108" s="192" t="str" cm="1">
        <f t="array" ref="S108">Common_InputFunctions.Utility_DisplayArrayInTable(Fertiliser_SourceData.Fertiliser_Products_Data1(), FertiliserProducts[[#Headers],[Company]],1)</f>
        <v/>
      </c>
      <c r="T108" s="192" t="str" cm="1">
        <f t="array" ref="T108">Common_InputFunctions.Utility_DisplayArrayInTable(Fertiliser_SourceData.Fertiliser_Products_Data1(), FertiliserProducts[[#Headers],[Company]],1)</f>
        <v/>
      </c>
      <c r="U108" s="192" t="str" cm="1">
        <f t="array" ref="U108">Common_InputFunctions.Utility_DisplayArrayInTable(Fertiliser_SourceData.Fertiliser_Products_Data1(), FertiliserProducts[[#Headers],[Company]],1)</f>
        <v/>
      </c>
      <c r="V108" s="192" t="str" cm="1">
        <f t="array" ref="V108">Common_InputFunctions.Utility_DisplayArrayInTable(Fertiliser_SourceData.Fertiliser_Products_Data1(), FertiliserProducts[[#Headers],[Company]],1)</f>
        <v/>
      </c>
      <c r="W108" s="192" t="str" cm="1">
        <f t="array" ref="W108">Common_InputFunctions.Utility_DisplayArrayInTable(Fertiliser_SourceData.Fertiliser_Products_Data1(), FertiliserProducts[[#Headers],[Company]],1)</f>
        <v/>
      </c>
      <c r="X108" s="192" t="str" cm="1">
        <f t="array" ref="X108">Common_InputFunctions.Utility_DisplayArrayInTable(Fertiliser_SourceData.Fertiliser_Products_Data1(), FertiliserProducts[[#Headers],[Company]],1)</f>
        <v/>
      </c>
      <c r="Y108" s="192" t="str" cm="1">
        <f t="array" ref="Y108">Common_InputFunctions.Utility_DisplayArrayInTable(Fertiliser_SourceData.Fertiliser_Products_Data1(), FertiliserProducts[[#Headers],[Company]],1)</f>
        <v/>
      </c>
      <c r="Z108" s="192" t="str" cm="1">
        <f t="array" ref="Z108">Common_InputFunctions.Utility_DisplayArrayInTable(Fertiliser_SourceData.Fertiliser_Products_Data1(), FertiliserProducts[[#Headers],[Company]],1)</f>
        <v/>
      </c>
      <c r="AA108" s="192" t="str" cm="1">
        <f t="array" ref="AA108">Common_InputFunctions.Utility_DisplayArrayInTable(Fertiliser_SourceData.Fertiliser_Products_Data1(), FertiliserProducts[[#Headers],[Company]],1)</f>
        <v/>
      </c>
      <c r="AB108" s="192" t="str" cm="1">
        <f t="array" ref="AB108">Common_InputFunctions.Utility_DisplayArrayInTable(Fertiliser_SourceData.Fertiliser_Products_Data1(), FertiliserProducts[[#Headers],[Company]],1)</f>
        <v/>
      </c>
      <c r="AC108" s="192" t="str" cm="1">
        <f t="array" ref="AC108">Common_InputFunctions.Utility_DisplayArrayInTable(Fertiliser_SourceData.Fertiliser_Products_Data1(), FertiliserProducts[[#Headers],[Company]],1)</f>
        <v/>
      </c>
      <c r="AD108" s="192" t="str" cm="1">
        <f t="array" ref="AD108">Common_InputFunctions.Utility_DisplayArrayInTable(Fertiliser_SourceData.Fertiliser_Products_Data1(), FertiliserProducts[[#Headers],[Company]],1)</f>
        <v/>
      </c>
      <c r="AE108" s="192" t="str" cm="1">
        <f t="array" ref="AE108">Common_InputFunctions.Utility_DisplayArrayInTable(Fertiliser_SourceData.Fertiliser_Products_Data1(), FertiliserProducts[[#Headers],[Company]],1)</f>
        <v/>
      </c>
      <c r="AF108" s="192" t="str" cm="1">
        <f t="array" ref="AF108">Common_InputFunctions.Utility_DisplayArrayInTable(Fertiliser_SourceData.Fertiliser_Products_Data1(), FertiliserProducts[[#Headers],[Company]],1)</f>
        <v/>
      </c>
      <c r="AG108" s="192" t="str" cm="1">
        <f t="array" ref="AG108">Common_InputFunctions.Utility_DisplayArrayInTable(Fertiliser_SourceData.Fertiliser_Products_Data1(), FertiliserProducts[[#Headers],[Company]],1)</f>
        <v/>
      </c>
      <c r="AH108" s="192" t="str" cm="1">
        <f t="array" ref="AH108">Common_InputFunctions.Utility_DisplayArrayInTable(Fertiliser_SourceData.Fertiliser_Products_Data1(), FertiliserProducts[[#Headers],[Company]],1)</f>
        <v/>
      </c>
      <c r="AK108" s="1"/>
      <c r="AL108" s="1"/>
      <c r="AM108" s="1"/>
    </row>
    <row r="109" spans="4:39" ht="20.100000000000001" customHeight="1" x14ac:dyDescent="0.25">
      <c r="D109" s="192" t="str" cm="1">
        <f t="array" ref="D109">Common_InputFunctions.Utility_DisplayArrayInTable(Fertiliser_SourceData.Fertiliser_Products_Data1(), FertiliserProducts[[#Headers],[Company]],1)</f>
        <v>Ravensdown</v>
      </c>
      <c r="E109" s="192" t="str" cm="1">
        <f t="array" ref="E109">Common_InputFunctions.Utility_DisplayArrayInTable(Fertiliser_SourceData.Fertiliser_Products_Data1(), FertiliserProducts[[#Headers],[Company]],1)</f>
        <v>Ammonium Sulphate - Granular</v>
      </c>
      <c r="F109" s="192" t="str" cm="1">
        <f t="array" ref="F109">Common_InputFunctions.Utility_DisplayArrayInTable(Fertiliser_SourceData.Fertiliser_Products_Data1(), FertiliserProducts[[#Headers],[Company]],1)</f>
        <v>kg</v>
      </c>
      <c r="G109" s="192" cm="1">
        <f t="array" ref="G109">Common_InputFunctions.Utility_DisplayArrayInTable(Fertiliser_SourceData.Fertiliser_Products_Data1(), FertiliserProducts[[#Headers],[Company]],1)</f>
        <v>1</v>
      </c>
      <c r="H109" s="192" t="str" cm="1">
        <f t="array" ref="H109">Common_InputFunctions.Utility_DisplayArrayInTable(Fertiliser_SourceData.Fertiliser_Products_Data1(), FertiliserProducts[[#Headers],[Company]],1)</f>
        <v/>
      </c>
      <c r="I109" s="192" t="str" cm="1">
        <f t="array" ref="I109">Common_InputFunctions.Utility_DisplayArrayInTable(Fertiliser_SourceData.Fertiliser_Products_Data1(), FertiliserProducts[[#Headers],[Company]],1)</f>
        <v/>
      </c>
      <c r="J109" s="192" t="str" cm="1">
        <f t="array" ref="J109">Common_InputFunctions.Utility_DisplayArrayInTable(Fertiliser_SourceData.Fertiliser_Products_Data1(), FertiliserProducts[[#Headers],[Company]],1)</f>
        <v/>
      </c>
      <c r="K109" s="192" cm="1">
        <f t="array" ref="K109">Common_InputFunctions.Utility_DisplayArrayInTable(Fertiliser_SourceData.Fertiliser_Products_Data1(), FertiliserProducts[[#Headers],[Company]],1)</f>
        <v>21</v>
      </c>
      <c r="L109" s="192" t="str" cm="1">
        <f t="array" ref="L109">Common_InputFunctions.Utility_DisplayArrayInTable(Fertiliser_SourceData.Fertiliser_Products_Data1(), FertiliserProducts[[#Headers],[Company]],1)</f>
        <v/>
      </c>
      <c r="M109" s="192" t="str" cm="1">
        <f t="array" ref="M109">Common_InputFunctions.Utility_DisplayArrayInTable(Fertiliser_SourceData.Fertiliser_Products_Data1(), FertiliserProducts[[#Headers],[Company]],1)</f>
        <v/>
      </c>
      <c r="N109" s="192" cm="1">
        <f t="array" ref="N109">Common_InputFunctions.Utility_DisplayArrayInTable(Fertiliser_SourceData.Fertiliser_Products_Data1(), FertiliserProducts[[#Headers],[Company]],1)</f>
        <v>24</v>
      </c>
      <c r="O109" s="192" t="str" cm="1">
        <f t="array" ref="O109">Common_InputFunctions.Utility_DisplayArrayInTable(Fertiliser_SourceData.Fertiliser_Products_Data1(), FertiliserProducts[[#Headers],[Company]],1)</f>
        <v>Sulphate of ammonia (SOA)</v>
      </c>
      <c r="P109" s="192" cm="1">
        <f t="array" ref="P109">Common_InputFunctions.Utility_DisplayArrayInTable(Fertiliser_SourceData.Fertiliser_Products_Data1(), FertiliserProducts[[#Headers],[Company]],1)</f>
        <v>1</v>
      </c>
      <c r="Q109" s="192" t="str" cm="1">
        <f t="array" ref="Q109">Common_InputFunctions.Utility_DisplayArrayInTable(Fertiliser_SourceData.Fertiliser_Products_Data1(), FertiliserProducts[[#Headers],[Company]],1)</f>
        <v/>
      </c>
      <c r="R109" s="192" t="str" cm="1">
        <f t="array" ref="R109">Common_InputFunctions.Utility_DisplayArrayInTable(Fertiliser_SourceData.Fertiliser_Products_Data1(), FertiliserProducts[[#Headers],[Company]],1)</f>
        <v/>
      </c>
      <c r="S109" s="192" t="str" cm="1">
        <f t="array" ref="S109">Common_InputFunctions.Utility_DisplayArrayInTable(Fertiliser_SourceData.Fertiliser_Products_Data1(), FertiliserProducts[[#Headers],[Company]],1)</f>
        <v/>
      </c>
      <c r="T109" s="192" t="str" cm="1">
        <f t="array" ref="T109">Common_InputFunctions.Utility_DisplayArrayInTable(Fertiliser_SourceData.Fertiliser_Products_Data1(), FertiliserProducts[[#Headers],[Company]],1)</f>
        <v/>
      </c>
      <c r="U109" s="192" t="str" cm="1">
        <f t="array" ref="U109">Common_InputFunctions.Utility_DisplayArrayInTable(Fertiliser_SourceData.Fertiliser_Products_Data1(), FertiliserProducts[[#Headers],[Company]],1)</f>
        <v/>
      </c>
      <c r="V109" s="192" t="str" cm="1">
        <f t="array" ref="V109">Common_InputFunctions.Utility_DisplayArrayInTable(Fertiliser_SourceData.Fertiliser_Products_Data1(), FertiliserProducts[[#Headers],[Company]],1)</f>
        <v/>
      </c>
      <c r="W109" s="192" t="str" cm="1">
        <f t="array" ref="W109">Common_InputFunctions.Utility_DisplayArrayInTable(Fertiliser_SourceData.Fertiliser_Products_Data1(), FertiliserProducts[[#Headers],[Company]],1)</f>
        <v/>
      </c>
      <c r="X109" s="192" t="str" cm="1">
        <f t="array" ref="X109">Common_InputFunctions.Utility_DisplayArrayInTable(Fertiliser_SourceData.Fertiliser_Products_Data1(), FertiliserProducts[[#Headers],[Company]],1)</f>
        <v/>
      </c>
      <c r="Y109" s="192" t="str" cm="1">
        <f t="array" ref="Y109">Common_InputFunctions.Utility_DisplayArrayInTable(Fertiliser_SourceData.Fertiliser_Products_Data1(), FertiliserProducts[[#Headers],[Company]],1)</f>
        <v/>
      </c>
      <c r="Z109" s="192" t="str" cm="1">
        <f t="array" ref="Z109">Common_InputFunctions.Utility_DisplayArrayInTable(Fertiliser_SourceData.Fertiliser_Products_Data1(), FertiliserProducts[[#Headers],[Company]],1)</f>
        <v/>
      </c>
      <c r="AA109" s="192" t="str" cm="1">
        <f t="array" ref="AA109">Common_InputFunctions.Utility_DisplayArrayInTable(Fertiliser_SourceData.Fertiliser_Products_Data1(), FertiliserProducts[[#Headers],[Company]],1)</f>
        <v/>
      </c>
      <c r="AB109" s="192" t="str" cm="1">
        <f t="array" ref="AB109">Common_InputFunctions.Utility_DisplayArrayInTable(Fertiliser_SourceData.Fertiliser_Products_Data1(), FertiliserProducts[[#Headers],[Company]],1)</f>
        <v/>
      </c>
      <c r="AC109" s="192" t="str" cm="1">
        <f t="array" ref="AC109">Common_InputFunctions.Utility_DisplayArrayInTable(Fertiliser_SourceData.Fertiliser_Products_Data1(), FertiliserProducts[[#Headers],[Company]],1)</f>
        <v/>
      </c>
      <c r="AD109" s="192" t="str" cm="1">
        <f t="array" ref="AD109">Common_InputFunctions.Utility_DisplayArrayInTable(Fertiliser_SourceData.Fertiliser_Products_Data1(), FertiliserProducts[[#Headers],[Company]],1)</f>
        <v/>
      </c>
      <c r="AE109" s="192" t="str" cm="1">
        <f t="array" ref="AE109">Common_InputFunctions.Utility_DisplayArrayInTable(Fertiliser_SourceData.Fertiliser_Products_Data1(), FertiliserProducts[[#Headers],[Company]],1)</f>
        <v/>
      </c>
      <c r="AF109" s="192" t="str" cm="1">
        <f t="array" ref="AF109">Common_InputFunctions.Utility_DisplayArrayInTable(Fertiliser_SourceData.Fertiliser_Products_Data1(), FertiliserProducts[[#Headers],[Company]],1)</f>
        <v/>
      </c>
      <c r="AG109" s="192" t="str" cm="1">
        <f t="array" ref="AG109">Common_InputFunctions.Utility_DisplayArrayInTable(Fertiliser_SourceData.Fertiliser_Products_Data1(), FertiliserProducts[[#Headers],[Company]],1)</f>
        <v/>
      </c>
      <c r="AH109" s="192" t="str" cm="1">
        <f t="array" ref="AH109">Common_InputFunctions.Utility_DisplayArrayInTable(Fertiliser_SourceData.Fertiliser_Products_Data1(), FertiliserProducts[[#Headers],[Company]],1)</f>
        <v/>
      </c>
      <c r="AK109" s="1"/>
      <c r="AL109" s="1"/>
      <c r="AM109" s="1"/>
    </row>
    <row r="110" spans="4:39" ht="20.100000000000001" customHeight="1" x14ac:dyDescent="0.25">
      <c r="D110" s="192" t="str" cm="1">
        <f t="array" ref="D110">Common_InputFunctions.Utility_DisplayArrayInTable(Fertiliser_SourceData.Fertiliser_Products_Data1(), FertiliserProducts[[#Headers],[Company]],1)</f>
        <v>Impact Fertilisers</v>
      </c>
      <c r="E110" s="192" t="str" cm="1">
        <f t="array" ref="E110">Common_InputFunctions.Utility_DisplayArrayInTable(Fertiliser_SourceData.Fertiliser_Products_Data1(), FertiliserProducts[[#Headers],[Company]],1)</f>
        <v>Di-Ammonium Phosphate (DAP)</v>
      </c>
      <c r="F110" s="192" t="str" cm="1">
        <f t="array" ref="F110">Common_InputFunctions.Utility_DisplayArrayInTable(Fertiliser_SourceData.Fertiliser_Products_Data1(), FertiliserProducts[[#Headers],[Company]],1)</f>
        <v>kg</v>
      </c>
      <c r="G110" s="192" cm="1">
        <f t="array" ref="G110">Common_InputFunctions.Utility_DisplayArrayInTable(Fertiliser_SourceData.Fertiliser_Products_Data1(), FertiliserProducts[[#Headers],[Company]],1)</f>
        <v>1</v>
      </c>
      <c r="H110" s="192" t="str" cm="1">
        <f t="array" ref="H110">Common_InputFunctions.Utility_DisplayArrayInTable(Fertiliser_SourceData.Fertiliser_Products_Data1(), FertiliserProducts[[#Headers],[Company]],1)</f>
        <v/>
      </c>
      <c r="I110" s="192" t="str" cm="1">
        <f t="array" ref="I110">Common_InputFunctions.Utility_DisplayArrayInTable(Fertiliser_SourceData.Fertiliser_Products_Data1(), FertiliserProducts[[#Headers],[Company]],1)</f>
        <v/>
      </c>
      <c r="J110" s="192" t="str" cm="1">
        <f t="array" ref="J110">Common_InputFunctions.Utility_DisplayArrayInTable(Fertiliser_SourceData.Fertiliser_Products_Data1(), FertiliserProducts[[#Headers],[Company]],1)</f>
        <v/>
      </c>
      <c r="K110" s="192" cm="1">
        <f t="array" ref="K110">Common_InputFunctions.Utility_DisplayArrayInTable(Fertiliser_SourceData.Fertiliser_Products_Data1(), FertiliserProducts[[#Headers],[Company]],1)</f>
        <v>18</v>
      </c>
      <c r="L110" s="192" cm="1">
        <f t="array" ref="L110">Common_InputFunctions.Utility_DisplayArrayInTable(Fertiliser_SourceData.Fertiliser_Products_Data1(), FertiliserProducts[[#Headers],[Company]],1)</f>
        <v>20</v>
      </c>
      <c r="M110" s="192" t="str" cm="1">
        <f t="array" ref="M110">Common_InputFunctions.Utility_DisplayArrayInTable(Fertiliser_SourceData.Fertiliser_Products_Data1(), FertiliserProducts[[#Headers],[Company]],1)</f>
        <v/>
      </c>
      <c r="N110" s="192" t="str" cm="1">
        <f t="array" ref="N110">Common_InputFunctions.Utility_DisplayArrayInTable(Fertiliser_SourceData.Fertiliser_Products_Data1(), FertiliserProducts[[#Headers],[Company]],1)</f>
        <v/>
      </c>
      <c r="O110" s="192" t="str" cm="1">
        <f t="array" ref="O110">Common_InputFunctions.Utility_DisplayArrayInTable(Fertiliser_SourceData.Fertiliser_Products_Data1(), FertiliserProducts[[#Headers],[Company]],1)</f>
        <v>Diammonium phosphate (DAP)</v>
      </c>
      <c r="P110" s="192" cm="1">
        <f t="array" ref="P110">Common_InputFunctions.Utility_DisplayArrayInTable(Fertiliser_SourceData.Fertiliser_Products_Data1(), FertiliserProducts[[#Headers],[Company]],1)</f>
        <v>1</v>
      </c>
      <c r="Q110" s="192" t="str" cm="1">
        <f t="array" ref="Q110">Common_InputFunctions.Utility_DisplayArrayInTable(Fertiliser_SourceData.Fertiliser_Products_Data1(), FertiliserProducts[[#Headers],[Company]],1)</f>
        <v/>
      </c>
      <c r="R110" s="192" t="str" cm="1">
        <f t="array" ref="R110">Common_InputFunctions.Utility_DisplayArrayInTable(Fertiliser_SourceData.Fertiliser_Products_Data1(), FertiliserProducts[[#Headers],[Company]],1)</f>
        <v/>
      </c>
      <c r="S110" s="192" t="str" cm="1">
        <f t="array" ref="S110">Common_InputFunctions.Utility_DisplayArrayInTable(Fertiliser_SourceData.Fertiliser_Products_Data1(), FertiliserProducts[[#Headers],[Company]],1)</f>
        <v/>
      </c>
      <c r="T110" s="192" t="str" cm="1">
        <f t="array" ref="T110">Common_InputFunctions.Utility_DisplayArrayInTable(Fertiliser_SourceData.Fertiliser_Products_Data1(), FertiliserProducts[[#Headers],[Company]],1)</f>
        <v/>
      </c>
      <c r="U110" s="192" t="str" cm="1">
        <f t="array" ref="U110">Common_InputFunctions.Utility_DisplayArrayInTable(Fertiliser_SourceData.Fertiliser_Products_Data1(), FertiliserProducts[[#Headers],[Company]],1)</f>
        <v/>
      </c>
      <c r="V110" s="192" t="str" cm="1">
        <f t="array" ref="V110">Common_InputFunctions.Utility_DisplayArrayInTable(Fertiliser_SourceData.Fertiliser_Products_Data1(), FertiliserProducts[[#Headers],[Company]],1)</f>
        <v/>
      </c>
      <c r="W110" s="192" t="str" cm="1">
        <f t="array" ref="W110">Common_InputFunctions.Utility_DisplayArrayInTable(Fertiliser_SourceData.Fertiliser_Products_Data1(), FertiliserProducts[[#Headers],[Company]],1)</f>
        <v/>
      </c>
      <c r="X110" s="192" t="str" cm="1">
        <f t="array" ref="X110">Common_InputFunctions.Utility_DisplayArrayInTable(Fertiliser_SourceData.Fertiliser_Products_Data1(), FertiliserProducts[[#Headers],[Company]],1)</f>
        <v/>
      </c>
      <c r="Y110" s="192" t="str" cm="1">
        <f t="array" ref="Y110">Common_InputFunctions.Utility_DisplayArrayInTable(Fertiliser_SourceData.Fertiliser_Products_Data1(), FertiliserProducts[[#Headers],[Company]],1)</f>
        <v/>
      </c>
      <c r="Z110" s="192" t="str" cm="1">
        <f t="array" ref="Z110">Common_InputFunctions.Utility_DisplayArrayInTable(Fertiliser_SourceData.Fertiliser_Products_Data1(), FertiliserProducts[[#Headers],[Company]],1)</f>
        <v/>
      </c>
      <c r="AA110" s="192" t="str" cm="1">
        <f t="array" ref="AA110">Common_InputFunctions.Utility_DisplayArrayInTable(Fertiliser_SourceData.Fertiliser_Products_Data1(), FertiliserProducts[[#Headers],[Company]],1)</f>
        <v/>
      </c>
      <c r="AB110" s="192" t="str" cm="1">
        <f t="array" ref="AB110">Common_InputFunctions.Utility_DisplayArrayInTable(Fertiliser_SourceData.Fertiliser_Products_Data1(), FertiliserProducts[[#Headers],[Company]],1)</f>
        <v/>
      </c>
      <c r="AC110" s="192" t="str" cm="1">
        <f t="array" ref="AC110">Common_InputFunctions.Utility_DisplayArrayInTable(Fertiliser_SourceData.Fertiliser_Products_Data1(), FertiliserProducts[[#Headers],[Company]],1)</f>
        <v/>
      </c>
      <c r="AD110" s="192" t="str" cm="1">
        <f t="array" ref="AD110">Common_InputFunctions.Utility_DisplayArrayInTable(Fertiliser_SourceData.Fertiliser_Products_Data1(), FertiliserProducts[[#Headers],[Company]],1)</f>
        <v/>
      </c>
      <c r="AE110" s="192" t="str" cm="1">
        <f t="array" ref="AE110">Common_InputFunctions.Utility_DisplayArrayInTable(Fertiliser_SourceData.Fertiliser_Products_Data1(), FertiliserProducts[[#Headers],[Company]],1)</f>
        <v/>
      </c>
      <c r="AF110" s="192" t="str" cm="1">
        <f t="array" ref="AF110">Common_InputFunctions.Utility_DisplayArrayInTable(Fertiliser_SourceData.Fertiliser_Products_Data1(), FertiliserProducts[[#Headers],[Company]],1)</f>
        <v/>
      </c>
      <c r="AG110" s="192" t="str" cm="1">
        <f t="array" ref="AG110">Common_InputFunctions.Utility_DisplayArrayInTable(Fertiliser_SourceData.Fertiliser_Products_Data1(), FertiliserProducts[[#Headers],[Company]],1)</f>
        <v/>
      </c>
      <c r="AH110" s="192" t="str" cm="1">
        <f t="array" ref="AH110">Common_InputFunctions.Utility_DisplayArrayInTable(Fertiliser_SourceData.Fertiliser_Products_Data1(), FertiliserProducts[[#Headers],[Company]],1)</f>
        <v/>
      </c>
      <c r="AK110" s="1"/>
      <c r="AL110" s="1"/>
      <c r="AM110" s="1"/>
    </row>
    <row r="111" spans="4:39" ht="20.100000000000001" customHeight="1" x14ac:dyDescent="0.25">
      <c r="D111" s="192" t="str" cm="1">
        <f t="array" ref="D111">Common_InputFunctions.Utility_DisplayArrayInTable(Fertiliser_SourceData.Fertiliser_Products_Data1(), FertiliserProducts[[#Headers],[Company]],1)</f>
        <v>Incitec Pivot Fertilisers</v>
      </c>
      <c r="E111" s="192" t="str" cm="1">
        <f t="array" ref="E111">Common_InputFunctions.Utility_DisplayArrayInTable(Fertiliser_SourceData.Fertiliser_Products_Data1(), FertiliserProducts[[#Headers],[Company]],1)</f>
        <v>Basalt BooSSta</v>
      </c>
      <c r="F111" s="192" t="str" cm="1">
        <f t="array" ref="F111">Common_InputFunctions.Utility_DisplayArrayInTable(Fertiliser_SourceData.Fertiliser_Products_Data1(), FertiliserProducts[[#Headers],[Company]],1)</f>
        <v>kg</v>
      </c>
      <c r="G111" s="192" cm="1">
        <f t="array" ref="G111">Common_InputFunctions.Utility_DisplayArrayInTable(Fertiliser_SourceData.Fertiliser_Products_Data1(), FertiliserProducts[[#Headers],[Company]],1)</f>
        <v>1</v>
      </c>
      <c r="H111" s="192" t="str" cm="1">
        <f t="array" ref="H111">Common_InputFunctions.Utility_DisplayArrayInTable(Fertiliser_SourceData.Fertiliser_Products_Data1(), FertiliserProducts[[#Headers],[Company]],1)</f>
        <v/>
      </c>
      <c r="I111" s="192" t="str" cm="1">
        <f t="array" ref="I111">Common_InputFunctions.Utility_DisplayArrayInTable(Fertiliser_SourceData.Fertiliser_Products_Data1(), FertiliserProducts[[#Headers],[Company]],1)</f>
        <v/>
      </c>
      <c r="J111" s="192" t="str" cm="1">
        <f t="array" ref="J111">Common_InputFunctions.Utility_DisplayArrayInTable(Fertiliser_SourceData.Fertiliser_Products_Data1(), FertiliserProducts[[#Headers],[Company]],1)</f>
        <v/>
      </c>
      <c r="K111" s="192" cm="1">
        <f t="array" ref="K111">Common_InputFunctions.Utility_DisplayArrayInTable(Fertiliser_SourceData.Fertiliser_Products_Data1(), FertiliserProducts[[#Headers],[Company]],1)</f>
        <v>8</v>
      </c>
      <c r="L111" s="192" cm="1">
        <f t="array" ref="L111">Common_InputFunctions.Utility_DisplayArrayInTable(Fertiliser_SourceData.Fertiliser_Products_Data1(), FertiliserProducts[[#Headers],[Company]],1)</f>
        <v>14</v>
      </c>
      <c r="M111" s="192" t="str" cm="1">
        <f t="array" ref="M111">Common_InputFunctions.Utility_DisplayArrayInTable(Fertiliser_SourceData.Fertiliser_Products_Data1(), FertiliserProducts[[#Headers],[Company]],1)</f>
        <v/>
      </c>
      <c r="N111" s="192" cm="1">
        <f t="array" ref="N111">Common_InputFunctions.Utility_DisplayArrayInTable(Fertiliser_SourceData.Fertiliser_Products_Data1(), FertiliserProducts[[#Headers],[Company]],1)</f>
        <v>27.6</v>
      </c>
      <c r="O111" s="192" t="str" cm="1">
        <f t="array" ref="O111">Common_InputFunctions.Utility_DisplayArrayInTable(Fertiliser_SourceData.Fertiliser_Products_Data1(), FertiliserProducts[[#Headers],[Company]],1)</f>
        <v>Sulfur - Generic</v>
      </c>
      <c r="P111" s="192" cm="1">
        <f t="array" ref="P111">Common_InputFunctions.Utility_DisplayArrayInTable(Fertiliser_SourceData.Fertiliser_Products_Data1(), FertiliserProducts[[#Headers],[Company]],1)</f>
        <v>0.27600000000000002</v>
      </c>
      <c r="Q111" s="192" t="str" cm="1">
        <f t="array" ref="Q111">Common_InputFunctions.Utility_DisplayArrayInTable(Fertiliser_SourceData.Fertiliser_Products_Data1(), FertiliserProducts[[#Headers],[Company]],1)</f>
        <v>Phosphorus - Generic</v>
      </c>
      <c r="R111" s="192" cm="1">
        <f t="array" ref="R111">Common_InputFunctions.Utility_DisplayArrayInTable(Fertiliser_SourceData.Fertiliser_Products_Data1(), FertiliserProducts[[#Headers],[Company]],1)</f>
        <v>0.14000000000000001</v>
      </c>
      <c r="S111" s="192" t="str" cm="1">
        <f t="array" ref="S111">Common_InputFunctions.Utility_DisplayArrayInTable(Fertiliser_SourceData.Fertiliser_Products_Data1(), FertiliserProducts[[#Headers],[Company]],1)</f>
        <v>Nitrogen - Generic</v>
      </c>
      <c r="T111" s="192" cm="1">
        <f t="array" ref="T111">Common_InputFunctions.Utility_DisplayArrayInTable(Fertiliser_SourceData.Fertiliser_Products_Data1(), FertiliserProducts[[#Headers],[Company]],1)</f>
        <v>0.08</v>
      </c>
      <c r="U111" s="192" t="str" cm="1">
        <f t="array" ref="U111">Common_InputFunctions.Utility_DisplayArrayInTable(Fertiliser_SourceData.Fertiliser_Products_Data1(), FertiliserProducts[[#Headers],[Company]],1)</f>
        <v>Fluoride</v>
      </c>
      <c r="V111" s="192" cm="1">
        <f t="array" ref="V111">Common_InputFunctions.Utility_DisplayArrayInTable(Fertiliser_SourceData.Fertiliser_Products_Data1(), FertiliserProducts[[#Headers],[Company]],1)</f>
        <v>2.4E-2</v>
      </c>
      <c r="W111" s="192" t="str" cm="1">
        <f t="array" ref="W111">Common_InputFunctions.Utility_DisplayArrayInTable(Fertiliser_SourceData.Fertiliser_Products_Data1(), FertiliserProducts[[#Headers],[Company]],1)</f>
        <v/>
      </c>
      <c r="X111" s="192" t="str" cm="1">
        <f t="array" ref="X111">Common_InputFunctions.Utility_DisplayArrayInTable(Fertiliser_SourceData.Fertiliser_Products_Data1(), FertiliserProducts[[#Headers],[Company]],1)</f>
        <v/>
      </c>
      <c r="Y111" s="192" t="str" cm="1">
        <f t="array" ref="Y111">Common_InputFunctions.Utility_DisplayArrayInTable(Fertiliser_SourceData.Fertiliser_Products_Data1(), FertiliserProducts[[#Headers],[Company]],1)</f>
        <v/>
      </c>
      <c r="Z111" s="192" t="str" cm="1">
        <f t="array" ref="Z111">Common_InputFunctions.Utility_DisplayArrayInTable(Fertiliser_SourceData.Fertiliser_Products_Data1(), FertiliserProducts[[#Headers],[Company]],1)</f>
        <v/>
      </c>
      <c r="AA111" s="192" t="str" cm="1">
        <f t="array" ref="AA111">Common_InputFunctions.Utility_DisplayArrayInTable(Fertiliser_SourceData.Fertiliser_Products_Data1(), FertiliserProducts[[#Headers],[Company]],1)</f>
        <v/>
      </c>
      <c r="AB111" s="192" t="str" cm="1">
        <f t="array" ref="AB111">Common_InputFunctions.Utility_DisplayArrayInTable(Fertiliser_SourceData.Fertiliser_Products_Data1(), FertiliserProducts[[#Headers],[Company]],1)</f>
        <v/>
      </c>
      <c r="AC111" s="192" t="str" cm="1">
        <f t="array" ref="AC111">Common_InputFunctions.Utility_DisplayArrayInTable(Fertiliser_SourceData.Fertiliser_Products_Data1(), FertiliserProducts[[#Headers],[Company]],1)</f>
        <v/>
      </c>
      <c r="AD111" s="192" t="str" cm="1">
        <f t="array" ref="AD111">Common_InputFunctions.Utility_DisplayArrayInTable(Fertiliser_SourceData.Fertiliser_Products_Data1(), FertiliserProducts[[#Headers],[Company]],1)</f>
        <v/>
      </c>
      <c r="AE111" s="192" t="str" cm="1">
        <f t="array" ref="AE111">Common_InputFunctions.Utility_DisplayArrayInTable(Fertiliser_SourceData.Fertiliser_Products_Data1(), FertiliserProducts[[#Headers],[Company]],1)</f>
        <v/>
      </c>
      <c r="AF111" s="192" t="str" cm="1">
        <f t="array" ref="AF111">Common_InputFunctions.Utility_DisplayArrayInTable(Fertiliser_SourceData.Fertiliser_Products_Data1(), FertiliserProducts[[#Headers],[Company]],1)</f>
        <v/>
      </c>
      <c r="AG111" s="192" t="str" cm="1">
        <f t="array" ref="AG111">Common_InputFunctions.Utility_DisplayArrayInTable(Fertiliser_SourceData.Fertiliser_Products_Data1(), FertiliserProducts[[#Headers],[Company]],1)</f>
        <v/>
      </c>
      <c r="AH111" s="192" t="str" cm="1">
        <f t="array" ref="AH111">Common_InputFunctions.Utility_DisplayArrayInTable(Fertiliser_SourceData.Fertiliser_Products_Data1(), FertiliserProducts[[#Headers],[Company]],1)</f>
        <v/>
      </c>
      <c r="AK111" s="1"/>
      <c r="AL111" s="1"/>
      <c r="AM111" s="1"/>
    </row>
    <row r="112" spans="4:39" ht="20.100000000000001" customHeight="1" x14ac:dyDescent="0.25">
      <c r="D112" s="192" t="str" cm="1">
        <f t="array" ref="D112">Common_InputFunctions.Utility_DisplayArrayInTable(Fertiliser_SourceData.Fertiliser_Products_Data1(), FertiliserProducts[[#Headers],[Company]],1)</f>
        <v>Summit Fertilizers</v>
      </c>
      <c r="E112" s="192" t="str" cm="1">
        <f t="array" ref="E112">Common_InputFunctions.Utility_DisplayArrayInTable(Fertiliser_SourceData.Fertiliser_Products_Data1(), FertiliserProducts[[#Headers],[Company]],1)</f>
        <v>DAPSZC</v>
      </c>
      <c r="F112" s="192" t="str" cm="1">
        <f t="array" ref="F112">Common_InputFunctions.Utility_DisplayArrayInTable(Fertiliser_SourceData.Fertiliser_Products_Data1(), FertiliserProducts[[#Headers],[Company]],1)</f>
        <v>kg</v>
      </c>
      <c r="G112" s="192" cm="1">
        <f t="array" ref="G112">Common_InputFunctions.Utility_DisplayArrayInTable(Fertiliser_SourceData.Fertiliser_Products_Data1(), FertiliserProducts[[#Headers],[Company]],1)</f>
        <v>1</v>
      </c>
      <c r="H112" s="192" t="str" cm="1">
        <f t="array" ref="H112">Common_InputFunctions.Utility_DisplayArrayInTable(Fertiliser_SourceData.Fertiliser_Products_Data1(), FertiliserProducts[[#Headers],[Company]],1)</f>
        <v/>
      </c>
      <c r="I112" s="192" t="str" cm="1">
        <f t="array" ref="I112">Common_InputFunctions.Utility_DisplayArrayInTable(Fertiliser_SourceData.Fertiliser_Products_Data1(), FertiliserProducts[[#Headers],[Company]],1)</f>
        <v/>
      </c>
      <c r="J112" s="192" t="str" cm="1">
        <f t="array" ref="J112">Common_InputFunctions.Utility_DisplayArrayInTable(Fertiliser_SourceData.Fertiliser_Products_Data1(), FertiliserProducts[[#Headers],[Company]],1)</f>
        <v/>
      </c>
      <c r="K112" s="192" cm="1">
        <f t="array" ref="K112">Common_InputFunctions.Utility_DisplayArrayInTable(Fertiliser_SourceData.Fertiliser_Products_Data1(), FertiliserProducts[[#Headers],[Company]],1)</f>
        <v>16.899999999999999</v>
      </c>
      <c r="L112" s="192" cm="1">
        <f t="array" ref="L112">Common_InputFunctions.Utility_DisplayArrayInTable(Fertiliser_SourceData.Fertiliser_Products_Data1(), FertiliserProducts[[#Headers],[Company]],1)</f>
        <v>18.2</v>
      </c>
      <c r="M112" s="192" t="str" cm="1">
        <f t="array" ref="M112">Common_InputFunctions.Utility_DisplayArrayInTable(Fertiliser_SourceData.Fertiliser_Products_Data1(), FertiliserProducts[[#Headers],[Company]],1)</f>
        <v/>
      </c>
      <c r="N112" s="192" cm="1">
        <f t="array" ref="N112">Common_InputFunctions.Utility_DisplayArrayInTable(Fertiliser_SourceData.Fertiliser_Products_Data1(), FertiliserProducts[[#Headers],[Company]],1)</f>
        <v>8</v>
      </c>
      <c r="O112" s="192" t="str" cm="1">
        <f t="array" ref="O112">Common_InputFunctions.Utility_DisplayArrayInTable(Fertiliser_SourceData.Fertiliser_Products_Data1(), FertiliserProducts[[#Headers],[Company]],1)</f>
        <v>Phosphorus - Generic</v>
      </c>
      <c r="P112" s="192" cm="1">
        <f t="array" ref="P112">Common_InputFunctions.Utility_DisplayArrayInTable(Fertiliser_SourceData.Fertiliser_Products_Data1(), FertiliserProducts[[#Headers],[Company]],1)</f>
        <v>0.182</v>
      </c>
      <c r="Q112" s="192" t="str" cm="1">
        <f t="array" ref="Q112">Common_InputFunctions.Utility_DisplayArrayInTable(Fertiliser_SourceData.Fertiliser_Products_Data1(), FertiliserProducts[[#Headers],[Company]],1)</f>
        <v>Nitrogen - Generic</v>
      </c>
      <c r="R112" s="192" cm="1">
        <f t="array" ref="R112">Common_InputFunctions.Utility_DisplayArrayInTable(Fertiliser_SourceData.Fertiliser_Products_Data1(), FertiliserProducts[[#Headers],[Company]],1)</f>
        <v>0.16900000000000001</v>
      </c>
      <c r="S112" s="192" t="str" cm="1">
        <f t="array" ref="S112">Common_InputFunctions.Utility_DisplayArrayInTable(Fertiliser_SourceData.Fertiliser_Products_Data1(), FertiliserProducts[[#Headers],[Company]],1)</f>
        <v>Sulfur - Generic</v>
      </c>
      <c r="T112" s="192" cm="1">
        <f t="array" ref="T112">Common_InputFunctions.Utility_DisplayArrayInTable(Fertiliser_SourceData.Fertiliser_Products_Data1(), FertiliserProducts[[#Headers],[Company]],1)</f>
        <v>0.08</v>
      </c>
      <c r="U112" s="192" t="str" cm="1">
        <f t="array" ref="U112">Common_InputFunctions.Utility_DisplayArrayInTable(Fertiliser_SourceData.Fertiliser_Products_Data1(), FertiliserProducts[[#Headers],[Company]],1)</f>
        <v>Zinc</v>
      </c>
      <c r="V112" s="192" cm="1">
        <f t="array" ref="V112">Common_InputFunctions.Utility_DisplayArrayInTable(Fertiliser_SourceData.Fertiliser_Products_Data1(), FertiliserProducts[[#Headers],[Company]],1)</f>
        <v>2E-3</v>
      </c>
      <c r="W112" s="192" t="str" cm="1">
        <f t="array" ref="W112">Common_InputFunctions.Utility_DisplayArrayInTable(Fertiliser_SourceData.Fertiliser_Products_Data1(), FertiliserProducts[[#Headers],[Company]],1)</f>
        <v>Copper</v>
      </c>
      <c r="X112" s="192" cm="1">
        <f t="array" ref="X112">Common_InputFunctions.Utility_DisplayArrayInTable(Fertiliser_SourceData.Fertiliser_Products_Data1(), FertiliserProducts[[#Headers],[Company]],1)</f>
        <v>1E-3</v>
      </c>
      <c r="Y112" s="192" t="str" cm="1">
        <f t="array" ref="Y112">Common_InputFunctions.Utility_DisplayArrayInTable(Fertiliser_SourceData.Fertiliser_Products_Data1(), FertiliserProducts[[#Headers],[Company]],1)</f>
        <v/>
      </c>
      <c r="Z112" s="192" t="str" cm="1">
        <f t="array" ref="Z112">Common_InputFunctions.Utility_DisplayArrayInTable(Fertiliser_SourceData.Fertiliser_Products_Data1(), FertiliserProducts[[#Headers],[Company]],1)</f>
        <v/>
      </c>
      <c r="AA112" s="192" t="str" cm="1">
        <f t="array" ref="AA112">Common_InputFunctions.Utility_DisplayArrayInTable(Fertiliser_SourceData.Fertiliser_Products_Data1(), FertiliserProducts[[#Headers],[Company]],1)</f>
        <v/>
      </c>
      <c r="AB112" s="192" t="str" cm="1">
        <f t="array" ref="AB112">Common_InputFunctions.Utility_DisplayArrayInTable(Fertiliser_SourceData.Fertiliser_Products_Data1(), FertiliserProducts[[#Headers],[Company]],1)</f>
        <v/>
      </c>
      <c r="AC112" s="192" t="str" cm="1">
        <f t="array" ref="AC112">Common_InputFunctions.Utility_DisplayArrayInTable(Fertiliser_SourceData.Fertiliser_Products_Data1(), FertiliserProducts[[#Headers],[Company]],1)</f>
        <v/>
      </c>
      <c r="AD112" s="192" t="str" cm="1">
        <f t="array" ref="AD112">Common_InputFunctions.Utility_DisplayArrayInTable(Fertiliser_SourceData.Fertiliser_Products_Data1(), FertiliserProducts[[#Headers],[Company]],1)</f>
        <v/>
      </c>
      <c r="AE112" s="192" t="str" cm="1">
        <f t="array" ref="AE112">Common_InputFunctions.Utility_DisplayArrayInTable(Fertiliser_SourceData.Fertiliser_Products_Data1(), FertiliserProducts[[#Headers],[Company]],1)</f>
        <v/>
      </c>
      <c r="AF112" s="192" t="str" cm="1">
        <f t="array" ref="AF112">Common_InputFunctions.Utility_DisplayArrayInTable(Fertiliser_SourceData.Fertiliser_Products_Data1(), FertiliserProducts[[#Headers],[Company]],1)</f>
        <v/>
      </c>
      <c r="AG112" s="192" t="str" cm="1">
        <f t="array" ref="AG112">Common_InputFunctions.Utility_DisplayArrayInTable(Fertiliser_SourceData.Fertiliser_Products_Data1(), FertiliserProducts[[#Headers],[Company]],1)</f>
        <v/>
      </c>
      <c r="AH112" s="192" t="str" cm="1">
        <f t="array" ref="AH112">Common_InputFunctions.Utility_DisplayArrayInTable(Fertiliser_SourceData.Fertiliser_Products_Data1(), FertiliserProducts[[#Headers],[Company]],1)</f>
        <v/>
      </c>
      <c r="AK112" s="1"/>
      <c r="AL112" s="1"/>
      <c r="AM112" s="1"/>
    </row>
    <row r="113" spans="4:39" ht="20.100000000000001" customHeight="1" x14ac:dyDescent="0.25">
      <c r="D113" s="192" t="str" cm="1">
        <f t="array" ref="D113">Common_InputFunctions.Utility_DisplayArrayInTable(Fertiliser_SourceData.Fertiliser_Products_Data1(), FertiliserProducts[[#Headers],[Company]],1)</f>
        <v>Incitec Pivot Fertilisers</v>
      </c>
      <c r="E113" s="192" t="str" cm="1">
        <f t="array" ref="E113">Common_InputFunctions.Utility_DisplayArrayInTable(Fertiliser_SourceData.Fertiliser_Products_Data1(), FertiliserProducts[[#Headers],[Company]],1)</f>
        <v>Easy N</v>
      </c>
      <c r="F113" s="192" t="str" cm="1">
        <f t="array" ref="F113">Common_InputFunctions.Utility_DisplayArrayInTable(Fertiliser_SourceData.Fertiliser_Products_Data1(), FertiliserProducts[[#Headers],[Company]],1)</f>
        <v>L</v>
      </c>
      <c r="G113" s="192" cm="1">
        <f t="array" ref="G113">Common_InputFunctions.Utility_DisplayArrayInTable(Fertiliser_SourceData.Fertiliser_Products_Data1(), FertiliserProducts[[#Headers],[Company]],1)</f>
        <v>1.32</v>
      </c>
      <c r="H113" s="192" t="str" cm="1">
        <f t="array" ref="H113">Common_InputFunctions.Utility_DisplayArrayInTable(Fertiliser_SourceData.Fertiliser_Products_Data1(), FertiliserProducts[[#Headers],[Company]],1)</f>
        <v/>
      </c>
      <c r="I113" s="192" t="str" cm="1">
        <f t="array" ref="I113">Common_InputFunctions.Utility_DisplayArrayInTable(Fertiliser_SourceData.Fertiliser_Products_Data1(), FertiliserProducts[[#Headers],[Company]],1)</f>
        <v/>
      </c>
      <c r="J113" s="192" t="str" cm="1">
        <f t="array" ref="J113">Common_InputFunctions.Utility_DisplayArrayInTable(Fertiliser_SourceData.Fertiliser_Products_Data1(), FertiliserProducts[[#Headers],[Company]],1)</f>
        <v/>
      </c>
      <c r="K113" s="192" cm="1">
        <f t="array" ref="K113">Common_InputFunctions.Utility_DisplayArrayInTable(Fertiliser_SourceData.Fertiliser_Products_Data1(), FertiliserProducts[[#Headers],[Company]],1)</f>
        <v>42.5</v>
      </c>
      <c r="L113" s="192" t="str" cm="1">
        <f t="array" ref="L113">Common_InputFunctions.Utility_DisplayArrayInTable(Fertiliser_SourceData.Fertiliser_Products_Data1(), FertiliserProducts[[#Headers],[Company]],1)</f>
        <v/>
      </c>
      <c r="M113" s="192" t="str" cm="1">
        <f t="array" ref="M113">Common_InputFunctions.Utility_DisplayArrayInTable(Fertiliser_SourceData.Fertiliser_Products_Data1(), FertiliserProducts[[#Headers],[Company]],1)</f>
        <v/>
      </c>
      <c r="N113" s="192" t="str" cm="1">
        <f t="array" ref="N113">Common_InputFunctions.Utility_DisplayArrayInTable(Fertiliser_SourceData.Fertiliser_Products_Data1(), FertiliserProducts[[#Headers],[Company]],1)</f>
        <v/>
      </c>
      <c r="O113" s="192" t="str" cm="1">
        <f t="array" ref="O113">Common_InputFunctions.Utility_DisplayArrayInTable(Fertiliser_SourceData.Fertiliser_Products_Data1(), FertiliserProducts[[#Headers],[Company]],1)</f>
        <v>Urea</v>
      </c>
      <c r="P113" s="192" cm="1">
        <f t="array" ref="P113">Common_InputFunctions.Utility_DisplayArrayInTable(Fertiliser_SourceData.Fertiliser_Products_Data1(), FertiliserProducts[[#Headers],[Company]],1)</f>
        <v>0.467391</v>
      </c>
      <c r="Q113" s="192" t="str" cm="1">
        <f t="array" ref="Q113">Common_InputFunctions.Utility_DisplayArrayInTable(Fertiliser_SourceData.Fertiliser_Products_Data1(), FertiliserProducts[[#Headers],[Company]],1)</f>
        <v>Nitrogen - Nitrate</v>
      </c>
      <c r="R113" s="192" cm="1">
        <f t="array" ref="R113">Common_InputFunctions.Utility_DisplayArrayInTable(Fertiliser_SourceData.Fertiliser_Products_Data1(), FertiliserProducts[[#Headers],[Company]],1)</f>
        <v>0.105</v>
      </c>
      <c r="S113" s="192" t="str" cm="1">
        <f t="array" ref="S113">Common_InputFunctions.Utility_DisplayArrayInTable(Fertiliser_SourceData.Fertiliser_Products_Data1(), FertiliserProducts[[#Headers],[Company]],1)</f>
        <v>Nitrogen - Ammoniacal</v>
      </c>
      <c r="T113" s="192" cm="1">
        <f t="array" ref="T113">Common_InputFunctions.Utility_DisplayArrayInTable(Fertiliser_SourceData.Fertiliser_Products_Data1(), FertiliserProducts[[#Headers],[Company]],1)</f>
        <v>0.105</v>
      </c>
      <c r="U113" s="192" t="str" cm="1">
        <f t="array" ref="U113">Common_InputFunctions.Utility_DisplayArrayInTable(Fertiliser_SourceData.Fertiliser_Products_Data1(), FertiliserProducts[[#Headers],[Company]],1)</f>
        <v>Biuret</v>
      </c>
      <c r="V113" s="192" cm="1">
        <f t="array" ref="V113">Common_InputFunctions.Utility_DisplayArrayInTable(Fertiliser_SourceData.Fertiliser_Products_Data1(), FertiliserProducts[[#Headers],[Company]],1)</f>
        <v>6.0000000000000001E-3</v>
      </c>
      <c r="W113" s="192" t="str" cm="1">
        <f t="array" ref="W113">Common_InputFunctions.Utility_DisplayArrayInTable(Fertiliser_SourceData.Fertiliser_Products_Data1(), FertiliserProducts[[#Headers],[Company]],1)</f>
        <v/>
      </c>
      <c r="X113" s="192" t="str" cm="1">
        <f t="array" ref="X113">Common_InputFunctions.Utility_DisplayArrayInTable(Fertiliser_SourceData.Fertiliser_Products_Data1(), FertiliserProducts[[#Headers],[Company]],1)</f>
        <v/>
      </c>
      <c r="Y113" s="192" t="str" cm="1">
        <f t="array" ref="Y113">Common_InputFunctions.Utility_DisplayArrayInTable(Fertiliser_SourceData.Fertiliser_Products_Data1(), FertiliserProducts[[#Headers],[Company]],1)</f>
        <v/>
      </c>
      <c r="Z113" s="192" t="str" cm="1">
        <f t="array" ref="Z113">Common_InputFunctions.Utility_DisplayArrayInTable(Fertiliser_SourceData.Fertiliser_Products_Data1(), FertiliserProducts[[#Headers],[Company]],1)</f>
        <v/>
      </c>
      <c r="AA113" s="192" t="str" cm="1">
        <f t="array" ref="AA113">Common_InputFunctions.Utility_DisplayArrayInTable(Fertiliser_SourceData.Fertiliser_Products_Data1(), FertiliserProducts[[#Headers],[Company]],1)</f>
        <v/>
      </c>
      <c r="AB113" s="192" t="str" cm="1">
        <f t="array" ref="AB113">Common_InputFunctions.Utility_DisplayArrayInTable(Fertiliser_SourceData.Fertiliser_Products_Data1(), FertiliserProducts[[#Headers],[Company]],1)</f>
        <v/>
      </c>
      <c r="AC113" s="192" t="str" cm="1">
        <f t="array" ref="AC113">Common_InputFunctions.Utility_DisplayArrayInTable(Fertiliser_SourceData.Fertiliser_Products_Data1(), FertiliserProducts[[#Headers],[Company]],1)</f>
        <v/>
      </c>
      <c r="AD113" s="192" t="str" cm="1">
        <f t="array" ref="AD113">Common_InputFunctions.Utility_DisplayArrayInTable(Fertiliser_SourceData.Fertiliser_Products_Data1(), FertiliserProducts[[#Headers],[Company]],1)</f>
        <v/>
      </c>
      <c r="AE113" s="192" t="str" cm="1">
        <f t="array" ref="AE113">Common_InputFunctions.Utility_DisplayArrayInTable(Fertiliser_SourceData.Fertiliser_Products_Data1(), FertiliserProducts[[#Headers],[Company]],1)</f>
        <v/>
      </c>
      <c r="AF113" s="192" t="str" cm="1">
        <f t="array" ref="AF113">Common_InputFunctions.Utility_DisplayArrayInTable(Fertiliser_SourceData.Fertiliser_Products_Data1(), FertiliserProducts[[#Headers],[Company]],1)</f>
        <v/>
      </c>
      <c r="AG113" s="192" t="str" cm="1">
        <f t="array" ref="AG113">Common_InputFunctions.Utility_DisplayArrayInTable(Fertiliser_SourceData.Fertiliser_Products_Data1(), FertiliserProducts[[#Headers],[Company]],1)</f>
        <v/>
      </c>
      <c r="AH113" s="192" t="str" cm="1">
        <f t="array" ref="AH113">Common_InputFunctions.Utility_DisplayArrayInTable(Fertiliser_SourceData.Fertiliser_Products_Data1(), FertiliserProducts[[#Headers],[Company]],1)</f>
        <v/>
      </c>
      <c r="AK113" s="1"/>
      <c r="AL113" s="1"/>
      <c r="AM113" s="1"/>
    </row>
    <row r="114" spans="4:39" ht="20.100000000000001" customHeight="1" x14ac:dyDescent="0.25">
      <c r="D114" s="192" t="str" cm="1">
        <f t="array" ref="D114">Common_InputFunctions.Utility_DisplayArrayInTable(Fertiliser_SourceData.Fertiliser_Products_Data1(), FertiliserProducts[[#Headers],[Company]],1)</f>
        <v>Risso-Chemical</v>
      </c>
      <c r="E114" s="192" t="str" cm="1">
        <f t="array" ref="E114">Common_InputFunctions.Utility_DisplayArrayInTable(Fertiliser_SourceData.Fertiliser_Products_Data1(), FertiliserProducts[[#Headers],[Company]],1)</f>
        <v>Calcium Ammonium nitrate</v>
      </c>
      <c r="F114" s="192" t="str" cm="1">
        <f t="array" ref="F114">Common_InputFunctions.Utility_DisplayArrayInTable(Fertiliser_SourceData.Fertiliser_Products_Data1(), FertiliserProducts[[#Headers],[Company]],1)</f>
        <v>kg</v>
      </c>
      <c r="G114" s="192" cm="1">
        <f t="array" ref="G114">Common_InputFunctions.Utility_DisplayArrayInTable(Fertiliser_SourceData.Fertiliser_Products_Data1(), FertiliserProducts[[#Headers],[Company]],1)</f>
        <v>1</v>
      </c>
      <c r="H114" s="192" t="str" cm="1">
        <f t="array" ref="H114">Common_InputFunctions.Utility_DisplayArrayInTable(Fertiliser_SourceData.Fertiliser_Products_Data1(), FertiliserProducts[[#Headers],[Company]],1)</f>
        <v/>
      </c>
      <c r="I114" s="192" t="str" cm="1">
        <f t="array" ref="I114">Common_InputFunctions.Utility_DisplayArrayInTable(Fertiliser_SourceData.Fertiliser_Products_Data1(), FertiliserProducts[[#Headers],[Company]],1)</f>
        <v/>
      </c>
      <c r="J114" s="192" t="str" cm="1">
        <f t="array" ref="J114">Common_InputFunctions.Utility_DisplayArrayInTable(Fertiliser_SourceData.Fertiliser_Products_Data1(), FertiliserProducts[[#Headers],[Company]],1)</f>
        <v>China</v>
      </c>
      <c r="K114" s="192" cm="1">
        <f t="array" ref="K114">Common_InputFunctions.Utility_DisplayArrayInTable(Fertiliser_SourceData.Fertiliser_Products_Data1(), FertiliserProducts[[#Headers],[Company]],1)</f>
        <v>40.5</v>
      </c>
      <c r="L114" s="192" t="str" cm="1">
        <f t="array" ref="L114">Common_InputFunctions.Utility_DisplayArrayInTable(Fertiliser_SourceData.Fertiliser_Products_Data1(), FertiliserProducts[[#Headers],[Company]],1)</f>
        <v/>
      </c>
      <c r="M114" s="192" t="str" cm="1">
        <f t="array" ref="M114">Common_InputFunctions.Utility_DisplayArrayInTable(Fertiliser_SourceData.Fertiliser_Products_Data1(), FertiliserProducts[[#Headers],[Company]],1)</f>
        <v/>
      </c>
      <c r="N114" s="192" t="str" cm="1">
        <f t="array" ref="N114">Common_InputFunctions.Utility_DisplayArrayInTable(Fertiliser_SourceData.Fertiliser_Products_Data1(), FertiliserProducts[[#Headers],[Company]],1)</f>
        <v/>
      </c>
      <c r="O114" s="192" t="str" cm="1">
        <f t="array" ref="O114">Common_InputFunctions.Utility_DisplayArrayInTable(Fertiliser_SourceData.Fertiliser_Products_Data1(), FertiliserProducts[[#Headers],[Company]],1)</f>
        <v>Nitrogen - Ammoniacal</v>
      </c>
      <c r="P114" s="192" cm="1">
        <f t="array" ref="P114">Common_InputFunctions.Utility_DisplayArrayInTable(Fertiliser_SourceData.Fertiliser_Products_Data1(), FertiliserProducts[[#Headers],[Company]],1)</f>
        <v>0.27</v>
      </c>
      <c r="Q114" s="192" t="str" cm="1">
        <f t="array" ref="Q114">Common_InputFunctions.Utility_DisplayArrayInTable(Fertiliser_SourceData.Fertiliser_Products_Data1(), FertiliserProducts[[#Headers],[Company]],1)</f>
        <v>Nitrogen - Nitrate</v>
      </c>
      <c r="R114" s="192" cm="1">
        <f t="array" ref="R114">Common_InputFunctions.Utility_DisplayArrayInTable(Fertiliser_SourceData.Fertiliser_Products_Data1(), FertiliserProducts[[#Headers],[Company]],1)</f>
        <v>0.13500000000000001</v>
      </c>
      <c r="S114" s="192" t="str" cm="1">
        <f t="array" ref="S114">Common_InputFunctions.Utility_DisplayArrayInTable(Fertiliser_SourceData.Fertiliser_Products_Data1(), FertiliserProducts[[#Headers],[Company]],1)</f>
        <v>Calcium</v>
      </c>
      <c r="T114" s="192" cm="1">
        <f t="array" ref="T114">Common_InputFunctions.Utility_DisplayArrayInTable(Fertiliser_SourceData.Fertiliser_Products_Data1(), FertiliserProducts[[#Headers],[Company]],1)</f>
        <v>0.12</v>
      </c>
      <c r="U114" s="192" t="str" cm="1">
        <f t="array" ref="U114">Common_InputFunctions.Utility_DisplayArrayInTable(Fertiliser_SourceData.Fertiliser_Products_Data1(), FertiliserProducts[[#Headers],[Company]],1)</f>
        <v/>
      </c>
      <c r="V114" s="192" t="str" cm="1">
        <f t="array" ref="V114">Common_InputFunctions.Utility_DisplayArrayInTable(Fertiliser_SourceData.Fertiliser_Products_Data1(), FertiliserProducts[[#Headers],[Company]],1)</f>
        <v/>
      </c>
      <c r="W114" s="192" t="str" cm="1">
        <f t="array" ref="W114">Common_InputFunctions.Utility_DisplayArrayInTable(Fertiliser_SourceData.Fertiliser_Products_Data1(), FertiliserProducts[[#Headers],[Company]],1)</f>
        <v/>
      </c>
      <c r="X114" s="192" t="str" cm="1">
        <f t="array" ref="X114">Common_InputFunctions.Utility_DisplayArrayInTable(Fertiliser_SourceData.Fertiliser_Products_Data1(), FertiliserProducts[[#Headers],[Company]],1)</f>
        <v/>
      </c>
      <c r="Y114" s="192" t="str" cm="1">
        <f t="array" ref="Y114">Common_InputFunctions.Utility_DisplayArrayInTable(Fertiliser_SourceData.Fertiliser_Products_Data1(), FertiliserProducts[[#Headers],[Company]],1)</f>
        <v/>
      </c>
      <c r="Z114" s="192" t="str" cm="1">
        <f t="array" ref="Z114">Common_InputFunctions.Utility_DisplayArrayInTable(Fertiliser_SourceData.Fertiliser_Products_Data1(), FertiliserProducts[[#Headers],[Company]],1)</f>
        <v/>
      </c>
      <c r="AA114" s="192" t="str" cm="1">
        <f t="array" ref="AA114">Common_InputFunctions.Utility_DisplayArrayInTable(Fertiliser_SourceData.Fertiliser_Products_Data1(), FertiliserProducts[[#Headers],[Company]],1)</f>
        <v/>
      </c>
      <c r="AB114" s="192" t="str" cm="1">
        <f t="array" ref="AB114">Common_InputFunctions.Utility_DisplayArrayInTable(Fertiliser_SourceData.Fertiliser_Products_Data1(), FertiliserProducts[[#Headers],[Company]],1)</f>
        <v/>
      </c>
      <c r="AC114" s="192" t="str" cm="1">
        <f t="array" ref="AC114">Common_InputFunctions.Utility_DisplayArrayInTable(Fertiliser_SourceData.Fertiliser_Products_Data1(), FertiliserProducts[[#Headers],[Company]],1)</f>
        <v/>
      </c>
      <c r="AD114" s="192" t="str" cm="1">
        <f t="array" ref="AD114">Common_InputFunctions.Utility_DisplayArrayInTable(Fertiliser_SourceData.Fertiliser_Products_Data1(), FertiliserProducts[[#Headers],[Company]],1)</f>
        <v/>
      </c>
      <c r="AE114" s="192" t="str" cm="1">
        <f t="array" ref="AE114">Common_InputFunctions.Utility_DisplayArrayInTable(Fertiliser_SourceData.Fertiliser_Products_Data1(), FertiliserProducts[[#Headers],[Company]],1)</f>
        <v/>
      </c>
      <c r="AF114" s="192" t="str" cm="1">
        <f t="array" ref="AF114">Common_InputFunctions.Utility_DisplayArrayInTable(Fertiliser_SourceData.Fertiliser_Products_Data1(), FertiliserProducts[[#Headers],[Company]],1)</f>
        <v/>
      </c>
      <c r="AG114" s="192" t="str" cm="1">
        <f t="array" ref="AG114">Common_InputFunctions.Utility_DisplayArrayInTable(Fertiliser_SourceData.Fertiliser_Products_Data1(), FertiliserProducts[[#Headers],[Company]],1)</f>
        <v/>
      </c>
      <c r="AH114" s="192" t="str" cm="1">
        <f t="array" ref="AH114">Common_InputFunctions.Utility_DisplayArrayInTable(Fertiliser_SourceData.Fertiliser_Products_Data1(), FertiliserProducts[[#Headers],[Company]],1)</f>
        <v/>
      </c>
      <c r="AK114" s="1"/>
      <c r="AL114" s="1"/>
      <c r="AM114" s="1"/>
    </row>
    <row r="115" spans="4:39" ht="20.100000000000001" customHeight="1" x14ac:dyDescent="0.25">
      <c r="D115" s="192" t="str" cm="1">
        <f t="array" ref="D115">Common_InputFunctions.Utility_DisplayArrayInTable(Fertiliser_SourceData.Fertiliser_Products_Data1(), FertiliserProducts[[#Headers],[Company]],1)</f>
        <v>SL Tec</v>
      </c>
      <c r="E115" s="192" t="str" cm="1">
        <f t="array" ref="E115">Common_InputFunctions.Utility_DisplayArrayInTable(Fertiliser_SourceData.Fertiliser_Products_Data1(), FertiliserProducts[[#Headers],[Company]],1)</f>
        <v>CellCAL Plus</v>
      </c>
      <c r="F115" s="192" t="str" cm="1">
        <f t="array" ref="F115">Common_InputFunctions.Utility_DisplayArrayInTable(Fertiliser_SourceData.Fertiliser_Products_Data1(), FertiliserProducts[[#Headers],[Company]],1)</f>
        <v>L</v>
      </c>
      <c r="G115" s="192" cm="1">
        <f t="array" ref="G115">Common_InputFunctions.Utility_DisplayArrayInTable(Fertiliser_SourceData.Fertiliser_Products_Data1(), FertiliserProducts[[#Headers],[Company]],1)</f>
        <v>1.1379999999999999</v>
      </c>
      <c r="H115" s="192" t="str" cm="1">
        <f t="array" ref="H115">Common_InputFunctions.Utility_DisplayArrayInTable(Fertiliser_SourceData.Fertiliser_Products_Data1(), FertiliserProducts[[#Headers],[Company]],1)</f>
        <v/>
      </c>
      <c r="I115" s="192" t="str" cm="1">
        <f t="array" ref="I115">Common_InputFunctions.Utility_DisplayArrayInTable(Fertiliser_SourceData.Fertiliser_Products_Data1(), FertiliserProducts[[#Headers],[Company]],1)</f>
        <v/>
      </c>
      <c r="J115" s="192" t="str" cm="1">
        <f t="array" ref="J115">Common_InputFunctions.Utility_DisplayArrayInTable(Fertiliser_SourceData.Fertiliser_Products_Data1(), FertiliserProducts[[#Headers],[Company]],1)</f>
        <v/>
      </c>
      <c r="K115" s="192" t="str" cm="1">
        <f t="array" ref="K115">Common_InputFunctions.Utility_DisplayArrayInTable(Fertiliser_SourceData.Fertiliser_Products_Data1(), FertiliserProducts[[#Headers],[Company]],1)</f>
        <v/>
      </c>
      <c r="L115" s="192" t="str" cm="1">
        <f t="array" ref="L115">Common_InputFunctions.Utility_DisplayArrayInTable(Fertiliser_SourceData.Fertiliser_Products_Data1(), FertiliserProducts[[#Headers],[Company]],1)</f>
        <v/>
      </c>
      <c r="M115" s="192" t="str" cm="1">
        <f t="array" ref="M115">Common_InputFunctions.Utility_DisplayArrayInTable(Fertiliser_SourceData.Fertiliser_Products_Data1(), FertiliserProducts[[#Headers],[Company]],1)</f>
        <v/>
      </c>
      <c r="N115" s="192" t="str" cm="1">
        <f t="array" ref="N115">Common_InputFunctions.Utility_DisplayArrayInTable(Fertiliser_SourceData.Fertiliser_Products_Data1(), FertiliserProducts[[#Headers],[Company]],1)</f>
        <v/>
      </c>
      <c r="O115" s="192" t="str" cm="1">
        <f t="array" ref="O115">Common_InputFunctions.Utility_DisplayArrayInTable(Fertiliser_SourceData.Fertiliser_Products_Data1(), FertiliserProducts[[#Headers],[Company]],1)</f>
        <v>Calcium</v>
      </c>
      <c r="P115" s="192" cm="1">
        <f t="array" ref="P115">Common_InputFunctions.Utility_DisplayArrayInTable(Fertiliser_SourceData.Fertiliser_Products_Data1(), FertiliserProducts[[#Headers],[Company]],1)</f>
        <v>5.8999999999999997E-2</v>
      </c>
      <c r="Q115" s="192" t="str" cm="1">
        <f t="array" ref="Q115">Common_InputFunctions.Utility_DisplayArrayInTable(Fertiliser_SourceData.Fertiliser_Products_Data1(), FertiliserProducts[[#Headers],[Company]],1)</f>
        <v>Copper</v>
      </c>
      <c r="R115" s="192" cm="1">
        <f t="array" ref="R115">Common_InputFunctions.Utility_DisplayArrayInTable(Fertiliser_SourceData.Fertiliser_Products_Data1(), FertiliserProducts[[#Headers],[Company]],1)</f>
        <v>3.0000000000000001E-3</v>
      </c>
      <c r="S115" s="192" t="str" cm="1">
        <f t="array" ref="S115">Common_InputFunctions.Utility_DisplayArrayInTable(Fertiliser_SourceData.Fertiliser_Products_Data1(), FertiliserProducts[[#Headers],[Company]],1)</f>
        <v>Boron</v>
      </c>
      <c r="T115" s="192" cm="1">
        <f t="array" ref="T115">Common_InputFunctions.Utility_DisplayArrayInTable(Fertiliser_SourceData.Fertiliser_Products_Data1(), FertiliserProducts[[#Headers],[Company]],1)</f>
        <v>1E-3</v>
      </c>
      <c r="U115" s="192" t="str" cm="1">
        <f t="array" ref="U115">Common_InputFunctions.Utility_DisplayArrayInTable(Fertiliser_SourceData.Fertiliser_Products_Data1(), FertiliserProducts[[#Headers],[Company]],1)</f>
        <v/>
      </c>
      <c r="V115" s="192" t="str" cm="1">
        <f t="array" ref="V115">Common_InputFunctions.Utility_DisplayArrayInTable(Fertiliser_SourceData.Fertiliser_Products_Data1(), FertiliserProducts[[#Headers],[Company]],1)</f>
        <v/>
      </c>
      <c r="W115" s="192" t="str" cm="1">
        <f t="array" ref="W115">Common_InputFunctions.Utility_DisplayArrayInTable(Fertiliser_SourceData.Fertiliser_Products_Data1(), FertiliserProducts[[#Headers],[Company]],1)</f>
        <v/>
      </c>
      <c r="X115" s="192" t="str" cm="1">
        <f t="array" ref="X115">Common_InputFunctions.Utility_DisplayArrayInTable(Fertiliser_SourceData.Fertiliser_Products_Data1(), FertiliserProducts[[#Headers],[Company]],1)</f>
        <v/>
      </c>
      <c r="Y115" s="192" t="str" cm="1">
        <f t="array" ref="Y115">Common_InputFunctions.Utility_DisplayArrayInTable(Fertiliser_SourceData.Fertiliser_Products_Data1(), FertiliserProducts[[#Headers],[Company]],1)</f>
        <v/>
      </c>
      <c r="Z115" s="192" t="str" cm="1">
        <f t="array" ref="Z115">Common_InputFunctions.Utility_DisplayArrayInTable(Fertiliser_SourceData.Fertiliser_Products_Data1(), FertiliserProducts[[#Headers],[Company]],1)</f>
        <v/>
      </c>
      <c r="AA115" s="192" t="str" cm="1">
        <f t="array" ref="AA115">Common_InputFunctions.Utility_DisplayArrayInTable(Fertiliser_SourceData.Fertiliser_Products_Data1(), FertiliserProducts[[#Headers],[Company]],1)</f>
        <v/>
      </c>
      <c r="AB115" s="192" t="str" cm="1">
        <f t="array" ref="AB115">Common_InputFunctions.Utility_DisplayArrayInTable(Fertiliser_SourceData.Fertiliser_Products_Data1(), FertiliserProducts[[#Headers],[Company]],1)</f>
        <v/>
      </c>
      <c r="AC115" s="192" t="str" cm="1">
        <f t="array" ref="AC115">Common_InputFunctions.Utility_DisplayArrayInTable(Fertiliser_SourceData.Fertiliser_Products_Data1(), FertiliserProducts[[#Headers],[Company]],1)</f>
        <v/>
      </c>
      <c r="AD115" s="192" t="str" cm="1">
        <f t="array" ref="AD115">Common_InputFunctions.Utility_DisplayArrayInTable(Fertiliser_SourceData.Fertiliser_Products_Data1(), FertiliserProducts[[#Headers],[Company]],1)</f>
        <v/>
      </c>
      <c r="AE115" s="192" t="str" cm="1">
        <f t="array" ref="AE115">Common_InputFunctions.Utility_DisplayArrayInTable(Fertiliser_SourceData.Fertiliser_Products_Data1(), FertiliserProducts[[#Headers],[Company]],1)</f>
        <v/>
      </c>
      <c r="AF115" s="192" t="str" cm="1">
        <f t="array" ref="AF115">Common_InputFunctions.Utility_DisplayArrayInTable(Fertiliser_SourceData.Fertiliser_Products_Data1(), FertiliserProducts[[#Headers],[Company]],1)</f>
        <v/>
      </c>
      <c r="AG115" s="192" t="str" cm="1">
        <f t="array" ref="AG115">Common_InputFunctions.Utility_DisplayArrayInTable(Fertiliser_SourceData.Fertiliser_Products_Data1(), FertiliserProducts[[#Headers],[Company]],1)</f>
        <v/>
      </c>
      <c r="AH115" s="192" t="str" cm="1">
        <f t="array" ref="AH115">Common_InputFunctions.Utility_DisplayArrayInTable(Fertiliser_SourceData.Fertiliser_Products_Data1(), FertiliserProducts[[#Headers],[Company]],1)</f>
        <v/>
      </c>
      <c r="AK115" s="1"/>
      <c r="AL115" s="1"/>
      <c r="AM115" s="1"/>
    </row>
    <row r="116" spans="4:39" ht="20.100000000000001" customHeight="1" x14ac:dyDescent="0.25">
      <c r="D116" s="192" t="str" cm="1">
        <f t="array" ref="D116">Common_InputFunctions.Utility_DisplayArrayInTable(Fertiliser_SourceData.Fertiliser_Products_Data1(), FertiliserProducts[[#Headers],[Company]],1)</f>
        <v>Incitec Pivot Fertilisers</v>
      </c>
      <c r="E116" s="192" t="str" cm="1">
        <f t="array" ref="E116">Common_InputFunctions.Utility_DisplayArrayInTable(Fertiliser_SourceData.Fertiliser_Products_Data1(), FertiliserProducts[[#Headers],[Company]],1)</f>
        <v>CK55</v>
      </c>
      <c r="F116" s="192" t="str" cm="1">
        <f t="array" ref="F116">Common_InputFunctions.Utility_DisplayArrayInTable(Fertiliser_SourceData.Fertiliser_Products_Data1(), FertiliserProducts[[#Headers],[Company]],1)</f>
        <v>kg</v>
      </c>
      <c r="G116" s="192" cm="1">
        <f t="array" ref="G116">Common_InputFunctions.Utility_DisplayArrayInTable(Fertiliser_SourceData.Fertiliser_Products_Data1(), FertiliserProducts[[#Headers],[Company]],1)</f>
        <v>1</v>
      </c>
      <c r="H116" s="192" t="str" cm="1">
        <f t="array" ref="H116">Common_InputFunctions.Utility_DisplayArrayInTable(Fertiliser_SourceData.Fertiliser_Products_Data1(), FertiliserProducts[[#Headers],[Company]],1)</f>
        <v/>
      </c>
      <c r="I116" s="192" t="str" cm="1">
        <f t="array" ref="I116">Common_InputFunctions.Utility_DisplayArrayInTable(Fertiliser_SourceData.Fertiliser_Products_Data1(), FertiliserProducts[[#Headers],[Company]],1)</f>
        <v/>
      </c>
      <c r="J116" s="192" t="str" cm="1">
        <f t="array" ref="J116">Common_InputFunctions.Utility_DisplayArrayInTable(Fertiliser_SourceData.Fertiliser_Products_Data1(), FertiliserProducts[[#Headers],[Company]],1)</f>
        <v/>
      </c>
      <c r="K116" s="192" cm="1">
        <f t="array" ref="K116">Common_InputFunctions.Utility_DisplayArrayInTable(Fertiliser_SourceData.Fertiliser_Products_Data1(), FertiliserProducts[[#Headers],[Company]],1)</f>
        <v>13.5</v>
      </c>
      <c r="L116" s="192" cm="1">
        <f t="array" ref="L116">Common_InputFunctions.Utility_DisplayArrayInTable(Fertiliser_SourceData.Fertiliser_Products_Data1(), FertiliserProducts[[#Headers],[Company]],1)</f>
        <v>15</v>
      </c>
      <c r="M116" s="192" cm="1">
        <f t="array" ref="M116">Common_InputFunctions.Utility_DisplayArrayInTable(Fertiliser_SourceData.Fertiliser_Products_Data1(), FertiliserProducts[[#Headers],[Company]],1)</f>
        <v>6.25</v>
      </c>
      <c r="N116" s="192" cm="1">
        <f t="array" ref="N116">Common_InputFunctions.Utility_DisplayArrayInTable(Fertiliser_SourceData.Fertiliser_Products_Data1(), FertiliserProducts[[#Headers],[Company]],1)</f>
        <v>1.2</v>
      </c>
      <c r="O116" s="192" t="str" cm="1">
        <f t="array" ref="O116">Common_InputFunctions.Utility_DisplayArrayInTable(Fertiliser_SourceData.Fertiliser_Products_Data1(), FertiliserProducts[[#Headers],[Company]],1)</f>
        <v>Phosphorus - Generic</v>
      </c>
      <c r="P116" s="192" cm="1">
        <f t="array" ref="P116">Common_InputFunctions.Utility_DisplayArrayInTable(Fertiliser_SourceData.Fertiliser_Products_Data1(), FertiliserProducts[[#Headers],[Company]],1)</f>
        <v>0.15</v>
      </c>
      <c r="Q116" s="192" t="str" cm="1">
        <f t="array" ref="Q116">Common_InputFunctions.Utility_DisplayArrayInTable(Fertiliser_SourceData.Fertiliser_Products_Data1(), FertiliserProducts[[#Headers],[Company]],1)</f>
        <v>Nitrogen - Ammoniacal</v>
      </c>
      <c r="R116" s="192" cm="1">
        <f t="array" ref="R116">Common_InputFunctions.Utility_DisplayArrayInTable(Fertiliser_SourceData.Fertiliser_Products_Data1(), FertiliserProducts[[#Headers],[Company]],1)</f>
        <v>0.13500000000000001</v>
      </c>
      <c r="S116" s="192" t="str" cm="1">
        <f t="array" ref="S116">Common_InputFunctions.Utility_DisplayArrayInTable(Fertiliser_SourceData.Fertiliser_Products_Data1(), FertiliserProducts[[#Headers],[Company]],1)</f>
        <v>Muriate of potash (MOP)</v>
      </c>
      <c r="T116" s="192" cm="1">
        <f t="array" ref="T116">Common_InputFunctions.Utility_DisplayArrayInTable(Fertiliser_SourceData.Fertiliser_Products_Data1(), FertiliserProducts[[#Headers],[Company]],1)</f>
        <v>0.125</v>
      </c>
      <c r="U116" s="192" t="str" cm="1">
        <f t="array" ref="U116">Common_InputFunctions.Utility_DisplayArrayInTable(Fertiliser_SourceData.Fertiliser_Products_Data1(), FertiliserProducts[[#Headers],[Company]],1)</f>
        <v>Fluoride</v>
      </c>
      <c r="V116" s="192" cm="1">
        <f t="array" ref="V116">Common_InputFunctions.Utility_DisplayArrayInTable(Fertiliser_SourceData.Fertiliser_Products_Data1(), FertiliserProducts[[#Headers],[Company]],1)</f>
        <v>2.3E-2</v>
      </c>
      <c r="W116" s="192" t="str" cm="1">
        <f t="array" ref="W116">Common_InputFunctions.Utility_DisplayArrayInTable(Fertiliser_SourceData.Fertiliser_Products_Data1(), FertiliserProducts[[#Headers],[Company]],1)</f>
        <v>Sulfur - Generic</v>
      </c>
      <c r="X116" s="192" cm="1">
        <f t="array" ref="X116">Common_InputFunctions.Utility_DisplayArrayInTable(Fertiliser_SourceData.Fertiliser_Products_Data1(), FertiliserProducts[[#Headers],[Company]],1)</f>
        <v>1.2E-2</v>
      </c>
      <c r="Y116" s="192" t="str" cm="1">
        <f t="array" ref="Y116">Common_InputFunctions.Utility_DisplayArrayInTable(Fertiliser_SourceData.Fertiliser_Products_Data1(), FertiliserProducts[[#Headers],[Company]],1)</f>
        <v/>
      </c>
      <c r="Z116" s="192" t="str" cm="1">
        <f t="array" ref="Z116">Common_InputFunctions.Utility_DisplayArrayInTable(Fertiliser_SourceData.Fertiliser_Products_Data1(), FertiliserProducts[[#Headers],[Company]],1)</f>
        <v/>
      </c>
      <c r="AA116" s="192" t="str" cm="1">
        <f t="array" ref="AA116">Common_InputFunctions.Utility_DisplayArrayInTable(Fertiliser_SourceData.Fertiliser_Products_Data1(), FertiliserProducts[[#Headers],[Company]],1)</f>
        <v/>
      </c>
      <c r="AB116" s="192" t="str" cm="1">
        <f t="array" ref="AB116">Common_InputFunctions.Utility_DisplayArrayInTable(Fertiliser_SourceData.Fertiliser_Products_Data1(), FertiliserProducts[[#Headers],[Company]],1)</f>
        <v/>
      </c>
      <c r="AC116" s="192" t="str" cm="1">
        <f t="array" ref="AC116">Common_InputFunctions.Utility_DisplayArrayInTable(Fertiliser_SourceData.Fertiliser_Products_Data1(), FertiliserProducts[[#Headers],[Company]],1)</f>
        <v/>
      </c>
      <c r="AD116" s="192" t="str" cm="1">
        <f t="array" ref="AD116">Common_InputFunctions.Utility_DisplayArrayInTable(Fertiliser_SourceData.Fertiliser_Products_Data1(), FertiliserProducts[[#Headers],[Company]],1)</f>
        <v/>
      </c>
      <c r="AE116" s="192" t="str" cm="1">
        <f t="array" ref="AE116">Common_InputFunctions.Utility_DisplayArrayInTable(Fertiliser_SourceData.Fertiliser_Products_Data1(), FertiliserProducts[[#Headers],[Company]],1)</f>
        <v/>
      </c>
      <c r="AF116" s="192" t="str" cm="1">
        <f t="array" ref="AF116">Common_InputFunctions.Utility_DisplayArrayInTable(Fertiliser_SourceData.Fertiliser_Products_Data1(), FertiliserProducts[[#Headers],[Company]],1)</f>
        <v/>
      </c>
      <c r="AG116" s="192" t="str" cm="1">
        <f t="array" ref="AG116">Common_InputFunctions.Utility_DisplayArrayInTable(Fertiliser_SourceData.Fertiliser_Products_Data1(), FertiliserProducts[[#Headers],[Company]],1)</f>
        <v/>
      </c>
      <c r="AH116" s="192" t="str" cm="1">
        <f t="array" ref="AH116">Common_InputFunctions.Utility_DisplayArrayInTable(Fertiliser_SourceData.Fertiliser_Products_Data1(), FertiliserProducts[[#Headers],[Company]],1)</f>
        <v/>
      </c>
      <c r="AK116" s="1"/>
      <c r="AL116" s="1"/>
      <c r="AM116" s="1"/>
    </row>
    <row r="117" spans="4:39" ht="20.100000000000001" customHeight="1" x14ac:dyDescent="0.25">
      <c r="D117" s="192" t="str" cm="1">
        <f t="array" ref="D117">Common_InputFunctions.Utility_DisplayArrayInTable(Fertiliser_SourceData.Fertiliser_Products_Data1(), FertiliserProducts[[#Headers],[Company]],1)</f>
        <v>Switch Ag</v>
      </c>
      <c r="E117" s="192" t="str" cm="1">
        <f t="array" ref="E117">Common_InputFunctions.Utility_DisplayArrayInTable(Fertiliser_SourceData.Fertiliser_Products_Data1(), FertiliserProducts[[#Headers],[Company]],1)</f>
        <v>Crop K</v>
      </c>
      <c r="F117" s="192" t="str" cm="1">
        <f t="array" ref="F117">Common_InputFunctions.Utility_DisplayArrayInTable(Fertiliser_SourceData.Fertiliser_Products_Data1(), FertiliserProducts[[#Headers],[Company]],1)</f>
        <v>L</v>
      </c>
      <c r="G117" s="192" cm="1">
        <f t="array" ref="G117">Common_InputFunctions.Utility_DisplayArrayInTable(Fertiliser_SourceData.Fertiliser_Products_Data1(), FertiliserProducts[[#Headers],[Company]],1)</f>
        <v>1.25</v>
      </c>
      <c r="H117" s="192" t="str" cm="1">
        <f t="array" ref="H117">Common_InputFunctions.Utility_DisplayArrayInTable(Fertiliser_SourceData.Fertiliser_Products_Data1(), FertiliserProducts[[#Headers],[Company]],1)</f>
        <v/>
      </c>
      <c r="I117" s="192" t="str" cm="1">
        <f t="array" ref="I117">Common_InputFunctions.Utility_DisplayArrayInTable(Fertiliser_SourceData.Fertiliser_Products_Data1(), FertiliserProducts[[#Headers],[Company]],1)</f>
        <v/>
      </c>
      <c r="J117" s="192" t="str" cm="1">
        <f t="array" ref="J117">Common_InputFunctions.Utility_DisplayArrayInTable(Fertiliser_SourceData.Fertiliser_Products_Data1(), FertiliserProducts[[#Headers],[Company]],1)</f>
        <v/>
      </c>
      <c r="K117" s="192" cm="1">
        <f t="array" ref="K117">Common_InputFunctions.Utility_DisplayArrayInTable(Fertiliser_SourceData.Fertiliser_Products_Data1(), FertiliserProducts[[#Headers],[Company]],1)</f>
        <v>3</v>
      </c>
      <c r="L117" s="192" t="str" cm="1">
        <f t="array" ref="L117">Common_InputFunctions.Utility_DisplayArrayInTable(Fertiliser_SourceData.Fertiliser_Products_Data1(), FertiliserProducts[[#Headers],[Company]],1)</f>
        <v/>
      </c>
      <c r="M117" s="192" cm="1">
        <f t="array" ref="M117">Common_InputFunctions.Utility_DisplayArrayInTable(Fertiliser_SourceData.Fertiliser_Products_Data1(), FertiliserProducts[[#Headers],[Company]],1)</f>
        <v>21</v>
      </c>
      <c r="N117" s="192" t="str" cm="1">
        <f t="array" ref="N117">Common_InputFunctions.Utility_DisplayArrayInTable(Fertiliser_SourceData.Fertiliser_Products_Data1(), FertiliserProducts[[#Headers],[Company]],1)</f>
        <v/>
      </c>
      <c r="O117" s="192" t="str" cm="1">
        <f t="array" ref="O117">Common_InputFunctions.Utility_DisplayArrayInTable(Fertiliser_SourceData.Fertiliser_Products_Data1(), FertiliserProducts[[#Headers],[Company]],1)</f>
        <v>Potassium - Generic</v>
      </c>
      <c r="P117" s="192" cm="1">
        <f t="array" ref="P117">Common_InputFunctions.Utility_DisplayArrayInTable(Fertiliser_SourceData.Fertiliser_Products_Data1(), FertiliserProducts[[#Headers],[Company]],1)</f>
        <v>0.21</v>
      </c>
      <c r="Q117" s="192" t="str" cm="1">
        <f t="array" ref="Q117">Common_InputFunctions.Utility_DisplayArrayInTable(Fertiliser_SourceData.Fertiliser_Products_Data1(), FertiliserProducts[[#Headers],[Company]],1)</f>
        <v>Nitrogen - Generic</v>
      </c>
      <c r="R117" s="192" cm="1">
        <f t="array" ref="R117">Common_InputFunctions.Utility_DisplayArrayInTable(Fertiliser_SourceData.Fertiliser_Products_Data1(), FertiliserProducts[[#Headers],[Company]],1)</f>
        <v>0.03</v>
      </c>
      <c r="S117" s="192" t="str" cm="1">
        <f t="array" ref="S117">Common_InputFunctions.Utility_DisplayArrayInTable(Fertiliser_SourceData.Fertiliser_Products_Data1(), FertiliserProducts[[#Headers],[Company]],1)</f>
        <v/>
      </c>
      <c r="T117" s="192" t="str" cm="1">
        <f t="array" ref="T117">Common_InputFunctions.Utility_DisplayArrayInTable(Fertiliser_SourceData.Fertiliser_Products_Data1(), FertiliserProducts[[#Headers],[Company]],1)</f>
        <v/>
      </c>
      <c r="U117" s="192" t="str" cm="1">
        <f t="array" ref="U117">Common_InputFunctions.Utility_DisplayArrayInTable(Fertiliser_SourceData.Fertiliser_Products_Data1(), FertiliserProducts[[#Headers],[Company]],1)</f>
        <v/>
      </c>
      <c r="V117" s="192" t="str" cm="1">
        <f t="array" ref="V117">Common_InputFunctions.Utility_DisplayArrayInTable(Fertiliser_SourceData.Fertiliser_Products_Data1(), FertiliserProducts[[#Headers],[Company]],1)</f>
        <v/>
      </c>
      <c r="W117" s="192" t="str" cm="1">
        <f t="array" ref="W117">Common_InputFunctions.Utility_DisplayArrayInTable(Fertiliser_SourceData.Fertiliser_Products_Data1(), FertiliserProducts[[#Headers],[Company]],1)</f>
        <v/>
      </c>
      <c r="X117" s="192" t="str" cm="1">
        <f t="array" ref="X117">Common_InputFunctions.Utility_DisplayArrayInTable(Fertiliser_SourceData.Fertiliser_Products_Data1(), FertiliserProducts[[#Headers],[Company]],1)</f>
        <v/>
      </c>
      <c r="Y117" s="192" t="str" cm="1">
        <f t="array" ref="Y117">Common_InputFunctions.Utility_DisplayArrayInTable(Fertiliser_SourceData.Fertiliser_Products_Data1(), FertiliserProducts[[#Headers],[Company]],1)</f>
        <v/>
      </c>
      <c r="Z117" s="192" t="str" cm="1">
        <f t="array" ref="Z117">Common_InputFunctions.Utility_DisplayArrayInTable(Fertiliser_SourceData.Fertiliser_Products_Data1(), FertiliserProducts[[#Headers],[Company]],1)</f>
        <v/>
      </c>
      <c r="AA117" s="192" t="str" cm="1">
        <f t="array" ref="AA117">Common_InputFunctions.Utility_DisplayArrayInTable(Fertiliser_SourceData.Fertiliser_Products_Data1(), FertiliserProducts[[#Headers],[Company]],1)</f>
        <v/>
      </c>
      <c r="AB117" s="192" t="str" cm="1">
        <f t="array" ref="AB117">Common_InputFunctions.Utility_DisplayArrayInTable(Fertiliser_SourceData.Fertiliser_Products_Data1(), FertiliserProducts[[#Headers],[Company]],1)</f>
        <v/>
      </c>
      <c r="AC117" s="192" t="str" cm="1">
        <f t="array" ref="AC117">Common_InputFunctions.Utility_DisplayArrayInTable(Fertiliser_SourceData.Fertiliser_Products_Data1(), FertiliserProducts[[#Headers],[Company]],1)</f>
        <v/>
      </c>
      <c r="AD117" s="192" t="str" cm="1">
        <f t="array" ref="AD117">Common_InputFunctions.Utility_DisplayArrayInTable(Fertiliser_SourceData.Fertiliser_Products_Data1(), FertiliserProducts[[#Headers],[Company]],1)</f>
        <v/>
      </c>
      <c r="AE117" s="192" t="str" cm="1">
        <f t="array" ref="AE117">Common_InputFunctions.Utility_DisplayArrayInTable(Fertiliser_SourceData.Fertiliser_Products_Data1(), FertiliserProducts[[#Headers],[Company]],1)</f>
        <v/>
      </c>
      <c r="AF117" s="192" t="str" cm="1">
        <f t="array" ref="AF117">Common_InputFunctions.Utility_DisplayArrayInTable(Fertiliser_SourceData.Fertiliser_Products_Data1(), FertiliserProducts[[#Headers],[Company]],1)</f>
        <v/>
      </c>
      <c r="AG117" s="192" t="str" cm="1">
        <f t="array" ref="AG117">Common_InputFunctions.Utility_DisplayArrayInTable(Fertiliser_SourceData.Fertiliser_Products_Data1(), FertiliserProducts[[#Headers],[Company]],1)</f>
        <v/>
      </c>
      <c r="AH117" s="192" t="str" cm="1">
        <f t="array" ref="AH117">Common_InputFunctions.Utility_DisplayArrayInTable(Fertiliser_SourceData.Fertiliser_Products_Data1(), FertiliserProducts[[#Headers],[Company]],1)</f>
        <v/>
      </c>
      <c r="AK117" s="1"/>
      <c r="AL117" s="1"/>
      <c r="AM117" s="1"/>
    </row>
    <row r="118" spans="4:39" ht="20.100000000000001" customHeight="1" x14ac:dyDescent="0.25">
      <c r="D118" s="192" t="str" cm="1">
        <f t="array" ref="D118">Common_InputFunctions.Utility_DisplayArrayInTable(Fertiliser_SourceData.Fertiliser_Products_Data1(), FertiliserProducts[[#Headers],[Company]],1)</f>
        <v>Switch Ag</v>
      </c>
      <c r="E118" s="192" t="str" cm="1">
        <f t="array" ref="E118">Common_InputFunctions.Utility_DisplayArrayInTable(Fertiliser_SourceData.Fertiliser_Products_Data1(), FertiliserProducts[[#Headers],[Company]],1)</f>
        <v>Crop Starter</v>
      </c>
      <c r="F118" s="192" t="str" cm="1">
        <f t="array" ref="F118">Common_InputFunctions.Utility_DisplayArrayInTable(Fertiliser_SourceData.Fertiliser_Products_Data1(), FertiliserProducts[[#Headers],[Company]],1)</f>
        <v>L</v>
      </c>
      <c r="G118" s="192" cm="1">
        <f t="array" ref="G118">Common_InputFunctions.Utility_DisplayArrayInTable(Fertiliser_SourceData.Fertiliser_Products_Data1(), FertiliserProducts[[#Headers],[Company]],1)</f>
        <v>1.2</v>
      </c>
      <c r="H118" s="192" t="str" cm="1">
        <f t="array" ref="H118">Common_InputFunctions.Utility_DisplayArrayInTable(Fertiliser_SourceData.Fertiliser_Products_Data1(), FertiliserProducts[[#Headers],[Company]],1)</f>
        <v/>
      </c>
      <c r="I118" s="192" t="str" cm="1">
        <f t="array" ref="I118">Common_InputFunctions.Utility_DisplayArrayInTable(Fertiliser_SourceData.Fertiliser_Products_Data1(), FertiliserProducts[[#Headers],[Company]],1)</f>
        <v/>
      </c>
      <c r="J118" s="192" t="str" cm="1">
        <f t="array" ref="J118">Common_InputFunctions.Utility_DisplayArrayInTable(Fertiliser_SourceData.Fertiliser_Products_Data1(), FertiliserProducts[[#Headers],[Company]],1)</f>
        <v/>
      </c>
      <c r="K118" s="192" cm="1">
        <f t="array" ref="K118">Common_InputFunctions.Utility_DisplayArrayInTable(Fertiliser_SourceData.Fertiliser_Products_Data1(), FertiliserProducts[[#Headers],[Company]],1)</f>
        <v>5</v>
      </c>
      <c r="L118" s="192" cm="1">
        <f t="array" ref="L118">Common_InputFunctions.Utility_DisplayArrayInTable(Fertiliser_SourceData.Fertiliser_Products_Data1(), FertiliserProducts[[#Headers],[Company]],1)</f>
        <v>3</v>
      </c>
      <c r="M118" s="192" cm="1">
        <f t="array" ref="M118">Common_InputFunctions.Utility_DisplayArrayInTable(Fertiliser_SourceData.Fertiliser_Products_Data1(), FertiliserProducts[[#Headers],[Company]],1)</f>
        <v>8</v>
      </c>
      <c r="N118" s="192" t="str" cm="1">
        <f t="array" ref="N118">Common_InputFunctions.Utility_DisplayArrayInTable(Fertiliser_SourceData.Fertiliser_Products_Data1(), FertiliserProducts[[#Headers],[Company]],1)</f>
        <v/>
      </c>
      <c r="O118" s="192" t="str" cm="1">
        <f t="array" ref="O118">Common_InputFunctions.Utility_DisplayArrayInTable(Fertiliser_SourceData.Fertiliser_Products_Data1(), FertiliserProducts[[#Headers],[Company]],1)</f>
        <v>Potassium - Generic</v>
      </c>
      <c r="P118" s="192" cm="1">
        <f t="array" ref="P118">Common_InputFunctions.Utility_DisplayArrayInTable(Fertiliser_SourceData.Fertiliser_Products_Data1(), FertiliserProducts[[#Headers],[Company]],1)</f>
        <v>0.08</v>
      </c>
      <c r="Q118" s="192" t="str" cm="1">
        <f t="array" ref="Q118">Common_InputFunctions.Utility_DisplayArrayInTable(Fertiliser_SourceData.Fertiliser_Products_Data1(), FertiliserProducts[[#Headers],[Company]],1)</f>
        <v>Nitrogen - Generic</v>
      </c>
      <c r="R118" s="192" cm="1">
        <f t="array" ref="R118">Common_InputFunctions.Utility_DisplayArrayInTable(Fertiliser_SourceData.Fertiliser_Products_Data1(), FertiliserProducts[[#Headers],[Company]],1)</f>
        <v>0.05</v>
      </c>
      <c r="S118" s="192" t="str" cm="1">
        <f t="array" ref="S118">Common_InputFunctions.Utility_DisplayArrayInTable(Fertiliser_SourceData.Fertiliser_Products_Data1(), FertiliserProducts[[#Headers],[Company]],1)</f>
        <v>Phosphorus - Generic</v>
      </c>
      <c r="T118" s="192" cm="1">
        <f t="array" ref="T118">Common_InputFunctions.Utility_DisplayArrayInTable(Fertiliser_SourceData.Fertiliser_Products_Data1(), FertiliserProducts[[#Headers],[Company]],1)</f>
        <v>0.03</v>
      </c>
      <c r="U118" s="192" t="str" cm="1">
        <f t="array" ref="U118">Common_InputFunctions.Utility_DisplayArrayInTable(Fertiliser_SourceData.Fertiliser_Products_Data1(), FertiliserProducts[[#Headers],[Company]],1)</f>
        <v/>
      </c>
      <c r="V118" s="192" t="str" cm="1">
        <f t="array" ref="V118">Common_InputFunctions.Utility_DisplayArrayInTable(Fertiliser_SourceData.Fertiliser_Products_Data1(), FertiliserProducts[[#Headers],[Company]],1)</f>
        <v/>
      </c>
      <c r="W118" s="192" t="str" cm="1">
        <f t="array" ref="W118">Common_InputFunctions.Utility_DisplayArrayInTable(Fertiliser_SourceData.Fertiliser_Products_Data1(), FertiliserProducts[[#Headers],[Company]],1)</f>
        <v/>
      </c>
      <c r="X118" s="192" t="str" cm="1">
        <f t="array" ref="X118">Common_InputFunctions.Utility_DisplayArrayInTable(Fertiliser_SourceData.Fertiliser_Products_Data1(), FertiliserProducts[[#Headers],[Company]],1)</f>
        <v/>
      </c>
      <c r="Y118" s="192" t="str" cm="1">
        <f t="array" ref="Y118">Common_InputFunctions.Utility_DisplayArrayInTable(Fertiliser_SourceData.Fertiliser_Products_Data1(), FertiliserProducts[[#Headers],[Company]],1)</f>
        <v/>
      </c>
      <c r="Z118" s="192" t="str" cm="1">
        <f t="array" ref="Z118">Common_InputFunctions.Utility_DisplayArrayInTable(Fertiliser_SourceData.Fertiliser_Products_Data1(), FertiliserProducts[[#Headers],[Company]],1)</f>
        <v/>
      </c>
      <c r="AA118" s="192" t="str" cm="1">
        <f t="array" ref="AA118">Common_InputFunctions.Utility_DisplayArrayInTable(Fertiliser_SourceData.Fertiliser_Products_Data1(), FertiliserProducts[[#Headers],[Company]],1)</f>
        <v/>
      </c>
      <c r="AB118" s="192" t="str" cm="1">
        <f t="array" ref="AB118">Common_InputFunctions.Utility_DisplayArrayInTable(Fertiliser_SourceData.Fertiliser_Products_Data1(), FertiliserProducts[[#Headers],[Company]],1)</f>
        <v/>
      </c>
      <c r="AC118" s="192" t="str" cm="1">
        <f t="array" ref="AC118">Common_InputFunctions.Utility_DisplayArrayInTable(Fertiliser_SourceData.Fertiliser_Products_Data1(), FertiliserProducts[[#Headers],[Company]],1)</f>
        <v/>
      </c>
      <c r="AD118" s="192" t="str" cm="1">
        <f t="array" ref="AD118">Common_InputFunctions.Utility_DisplayArrayInTable(Fertiliser_SourceData.Fertiliser_Products_Data1(), FertiliserProducts[[#Headers],[Company]],1)</f>
        <v/>
      </c>
      <c r="AE118" s="192" t="str" cm="1">
        <f t="array" ref="AE118">Common_InputFunctions.Utility_DisplayArrayInTable(Fertiliser_SourceData.Fertiliser_Products_Data1(), FertiliserProducts[[#Headers],[Company]],1)</f>
        <v/>
      </c>
      <c r="AF118" s="192" t="str" cm="1">
        <f t="array" ref="AF118">Common_InputFunctions.Utility_DisplayArrayInTable(Fertiliser_SourceData.Fertiliser_Products_Data1(), FertiliserProducts[[#Headers],[Company]],1)</f>
        <v/>
      </c>
      <c r="AG118" s="192" t="str" cm="1">
        <f t="array" ref="AG118">Common_InputFunctions.Utility_DisplayArrayInTable(Fertiliser_SourceData.Fertiliser_Products_Data1(), FertiliserProducts[[#Headers],[Company]],1)</f>
        <v/>
      </c>
      <c r="AH118" s="192" t="str" cm="1">
        <f t="array" ref="AH118">Common_InputFunctions.Utility_DisplayArrayInTable(Fertiliser_SourceData.Fertiliser_Products_Data1(), FertiliserProducts[[#Headers],[Company]],1)</f>
        <v/>
      </c>
      <c r="AK118" s="1"/>
      <c r="AL118" s="1"/>
      <c r="AM118" s="1"/>
    </row>
    <row r="119" spans="4:39" ht="20.100000000000001" customHeight="1" x14ac:dyDescent="0.25">
      <c r="D119" s="192" t="str" cm="1">
        <f t="array" ref="D119">Common_InputFunctions.Utility_DisplayArrayInTable(Fertiliser_SourceData.Fertiliser_Products_Data1(), FertiliserProducts[[#Headers],[Company]],1)</f>
        <v>Incitec Pivot Fertilisers</v>
      </c>
      <c r="E119" s="192" t="str" cm="1">
        <f t="array" ref="E119">Common_InputFunctions.Utility_DisplayArrayInTable(Fertiliser_SourceData.Fertiliser_Products_Data1(), FertiliserProducts[[#Headers],[Company]],1)</f>
        <v>Gran-Am</v>
      </c>
      <c r="F119" s="192" t="str" cm="1">
        <f t="array" ref="F119">Common_InputFunctions.Utility_DisplayArrayInTable(Fertiliser_SourceData.Fertiliser_Products_Data1(), FertiliserProducts[[#Headers],[Company]],1)</f>
        <v>kg</v>
      </c>
      <c r="G119" s="192" cm="1">
        <f t="array" ref="G119">Common_InputFunctions.Utility_DisplayArrayInTable(Fertiliser_SourceData.Fertiliser_Products_Data1(), FertiliserProducts[[#Headers],[Company]],1)</f>
        <v>1</v>
      </c>
      <c r="H119" s="192" t="str" cm="1">
        <f t="array" ref="H119">Common_InputFunctions.Utility_DisplayArrayInTable(Fertiliser_SourceData.Fertiliser_Products_Data1(), FertiliserProducts[[#Headers],[Company]],1)</f>
        <v/>
      </c>
      <c r="I119" s="192" t="str" cm="1">
        <f t="array" ref="I119">Common_InputFunctions.Utility_DisplayArrayInTable(Fertiliser_SourceData.Fertiliser_Products_Data1(), FertiliserProducts[[#Headers],[Company]],1)</f>
        <v/>
      </c>
      <c r="J119" s="192" t="str" cm="1">
        <f t="array" ref="J119">Common_InputFunctions.Utility_DisplayArrayInTable(Fertiliser_SourceData.Fertiliser_Products_Data1(), FertiliserProducts[[#Headers],[Company]],1)</f>
        <v/>
      </c>
      <c r="K119" s="192" cm="1">
        <f t="array" ref="K119">Common_InputFunctions.Utility_DisplayArrayInTable(Fertiliser_SourceData.Fertiliser_Products_Data1(), FertiliserProducts[[#Headers],[Company]],1)</f>
        <v>21</v>
      </c>
      <c r="L119" s="192" t="str" cm="1">
        <f t="array" ref="L119">Common_InputFunctions.Utility_DisplayArrayInTable(Fertiliser_SourceData.Fertiliser_Products_Data1(), FertiliserProducts[[#Headers],[Company]],1)</f>
        <v/>
      </c>
      <c r="M119" s="192" t="str" cm="1">
        <f t="array" ref="M119">Common_InputFunctions.Utility_DisplayArrayInTable(Fertiliser_SourceData.Fertiliser_Products_Data1(), FertiliserProducts[[#Headers],[Company]],1)</f>
        <v/>
      </c>
      <c r="N119" s="192" cm="1">
        <f t="array" ref="N119">Common_InputFunctions.Utility_DisplayArrayInTable(Fertiliser_SourceData.Fertiliser_Products_Data1(), FertiliserProducts[[#Headers],[Company]],1)</f>
        <v>24</v>
      </c>
      <c r="O119" s="192" t="str" cm="1">
        <f t="array" ref="O119">Common_InputFunctions.Utility_DisplayArrayInTable(Fertiliser_SourceData.Fertiliser_Products_Data1(), FertiliserProducts[[#Headers],[Company]],1)</f>
        <v>Sulphate of ammonia (SOA)</v>
      </c>
      <c r="P119" s="192" cm="1">
        <f t="array" ref="P119">Common_InputFunctions.Utility_DisplayArrayInTable(Fertiliser_SourceData.Fertiliser_Products_Data1(), FertiliserProducts[[#Headers],[Company]],1)</f>
        <v>1</v>
      </c>
      <c r="Q119" s="192" t="str" cm="1">
        <f t="array" ref="Q119">Common_InputFunctions.Utility_DisplayArrayInTable(Fertiliser_SourceData.Fertiliser_Products_Data1(), FertiliserProducts[[#Headers],[Company]],1)</f>
        <v/>
      </c>
      <c r="R119" s="192" t="str" cm="1">
        <f t="array" ref="R119">Common_InputFunctions.Utility_DisplayArrayInTable(Fertiliser_SourceData.Fertiliser_Products_Data1(), FertiliserProducts[[#Headers],[Company]],1)</f>
        <v/>
      </c>
      <c r="S119" s="192" t="str" cm="1">
        <f t="array" ref="S119">Common_InputFunctions.Utility_DisplayArrayInTable(Fertiliser_SourceData.Fertiliser_Products_Data1(), FertiliserProducts[[#Headers],[Company]],1)</f>
        <v/>
      </c>
      <c r="T119" s="192" t="str" cm="1">
        <f t="array" ref="T119">Common_InputFunctions.Utility_DisplayArrayInTable(Fertiliser_SourceData.Fertiliser_Products_Data1(), FertiliserProducts[[#Headers],[Company]],1)</f>
        <v/>
      </c>
      <c r="U119" s="192" t="str" cm="1">
        <f t="array" ref="U119">Common_InputFunctions.Utility_DisplayArrayInTable(Fertiliser_SourceData.Fertiliser_Products_Data1(), FertiliserProducts[[#Headers],[Company]],1)</f>
        <v/>
      </c>
      <c r="V119" s="192" t="str" cm="1">
        <f t="array" ref="V119">Common_InputFunctions.Utility_DisplayArrayInTable(Fertiliser_SourceData.Fertiliser_Products_Data1(), FertiliserProducts[[#Headers],[Company]],1)</f>
        <v/>
      </c>
      <c r="W119" s="192" t="str" cm="1">
        <f t="array" ref="W119">Common_InputFunctions.Utility_DisplayArrayInTable(Fertiliser_SourceData.Fertiliser_Products_Data1(), FertiliserProducts[[#Headers],[Company]],1)</f>
        <v/>
      </c>
      <c r="X119" s="192" t="str" cm="1">
        <f t="array" ref="X119">Common_InputFunctions.Utility_DisplayArrayInTable(Fertiliser_SourceData.Fertiliser_Products_Data1(), FertiliserProducts[[#Headers],[Company]],1)</f>
        <v/>
      </c>
      <c r="Y119" s="192" t="str" cm="1">
        <f t="array" ref="Y119">Common_InputFunctions.Utility_DisplayArrayInTable(Fertiliser_SourceData.Fertiliser_Products_Data1(), FertiliserProducts[[#Headers],[Company]],1)</f>
        <v/>
      </c>
      <c r="Z119" s="192" t="str" cm="1">
        <f t="array" ref="Z119">Common_InputFunctions.Utility_DisplayArrayInTable(Fertiliser_SourceData.Fertiliser_Products_Data1(), FertiliserProducts[[#Headers],[Company]],1)</f>
        <v/>
      </c>
      <c r="AA119" s="192" t="str" cm="1">
        <f t="array" ref="AA119">Common_InputFunctions.Utility_DisplayArrayInTable(Fertiliser_SourceData.Fertiliser_Products_Data1(), FertiliserProducts[[#Headers],[Company]],1)</f>
        <v/>
      </c>
      <c r="AB119" s="192" t="str" cm="1">
        <f t="array" ref="AB119">Common_InputFunctions.Utility_DisplayArrayInTable(Fertiliser_SourceData.Fertiliser_Products_Data1(), FertiliserProducts[[#Headers],[Company]],1)</f>
        <v/>
      </c>
      <c r="AC119" s="192" t="str" cm="1">
        <f t="array" ref="AC119">Common_InputFunctions.Utility_DisplayArrayInTable(Fertiliser_SourceData.Fertiliser_Products_Data1(), FertiliserProducts[[#Headers],[Company]],1)</f>
        <v/>
      </c>
      <c r="AD119" s="192" t="str" cm="1">
        <f t="array" ref="AD119">Common_InputFunctions.Utility_DisplayArrayInTable(Fertiliser_SourceData.Fertiliser_Products_Data1(), FertiliserProducts[[#Headers],[Company]],1)</f>
        <v/>
      </c>
      <c r="AE119" s="192" t="str" cm="1">
        <f t="array" ref="AE119">Common_InputFunctions.Utility_DisplayArrayInTable(Fertiliser_SourceData.Fertiliser_Products_Data1(), FertiliserProducts[[#Headers],[Company]],1)</f>
        <v/>
      </c>
      <c r="AF119" s="192" t="str" cm="1">
        <f t="array" ref="AF119">Common_InputFunctions.Utility_DisplayArrayInTable(Fertiliser_SourceData.Fertiliser_Products_Data1(), FertiliserProducts[[#Headers],[Company]],1)</f>
        <v/>
      </c>
      <c r="AG119" s="192" t="str" cm="1">
        <f t="array" ref="AG119">Common_InputFunctions.Utility_DisplayArrayInTable(Fertiliser_SourceData.Fertiliser_Products_Data1(), FertiliserProducts[[#Headers],[Company]],1)</f>
        <v/>
      </c>
      <c r="AH119" s="192" t="str" cm="1">
        <f t="array" ref="AH119">Common_InputFunctions.Utility_DisplayArrayInTable(Fertiliser_SourceData.Fertiliser_Products_Data1(), FertiliserProducts[[#Headers],[Company]],1)</f>
        <v/>
      </c>
      <c r="AK119" s="1"/>
      <c r="AL119" s="1"/>
      <c r="AM119" s="1"/>
    </row>
    <row r="120" spans="4:39" ht="20.100000000000001" customHeight="1" x14ac:dyDescent="0.25">
      <c r="D120" s="192" t="str" cm="1">
        <f t="array" ref="D120">Common_InputFunctions.Utility_DisplayArrayInTable(Fertiliser_SourceData.Fertiliser_Products_Data2(), FertiliserProducts[[#Headers],[Company]],31)</f>
        <v>Campbells fertilisers Australia</v>
      </c>
      <c r="E120" s="192" t="str" cm="1">
        <f t="array" ref="E120">Common_InputFunctions.Utility_DisplayArrayInTable(Fertiliser_SourceData.Fertiliser_Products_Data2(), FertiliserProducts[[#Headers],[Company]],31)</f>
        <v>Encal</v>
      </c>
      <c r="F120" s="192" t="str" cm="1">
        <f t="array" ref="F120">Common_InputFunctions.Utility_DisplayArrayInTable(Fertiliser_SourceData.Fertiliser_Products_Data2(), FertiliserProducts[[#Headers],[Company]],31)</f>
        <v>L</v>
      </c>
      <c r="G120" s="192" cm="1">
        <f t="array" ref="G120">Common_InputFunctions.Utility_DisplayArrayInTable(Fertiliser_SourceData.Fertiliser_Products_Data2(), FertiliserProducts[[#Headers],[Company]],31)</f>
        <v>1.5</v>
      </c>
      <c r="H120" s="192" t="str" cm="1">
        <f t="array" ref="H120">Common_InputFunctions.Utility_DisplayArrayInTable(Fertiliser_SourceData.Fertiliser_Products_Data2(), FertiliserProducts[[#Headers],[Company]],31)</f>
        <v/>
      </c>
      <c r="I120" s="192" t="str" cm="1">
        <f t="array" ref="I120">Common_InputFunctions.Utility_DisplayArrayInTable(Fertiliser_SourceData.Fertiliser_Products_Data2(), FertiliserProducts[[#Headers],[Company]],31)</f>
        <v/>
      </c>
      <c r="J120" s="192" t="str" cm="1">
        <f t="array" ref="J120">Common_InputFunctions.Utility_DisplayArrayInTable(Fertiliser_SourceData.Fertiliser_Products_Data2(), FertiliserProducts[[#Headers],[Company]],31)</f>
        <v/>
      </c>
      <c r="K120" s="192" cm="1">
        <f t="array" ref="K120">Common_InputFunctions.Utility_DisplayArrayInTable(Fertiliser_SourceData.Fertiliser_Products_Data2(), FertiliserProducts[[#Headers],[Company]],31)</f>
        <v>9</v>
      </c>
      <c r="L120" s="192" t="str" cm="1">
        <f t="array" ref="L120">Common_InputFunctions.Utility_DisplayArrayInTable(Fertiliser_SourceData.Fertiliser_Products_Data2(), FertiliserProducts[[#Headers],[Company]],31)</f>
        <v/>
      </c>
      <c r="M120" s="192" t="str" cm="1">
        <f t="array" ref="M120">Common_InputFunctions.Utility_DisplayArrayInTable(Fertiliser_SourceData.Fertiliser_Products_Data2(), FertiliserProducts[[#Headers],[Company]],31)</f>
        <v/>
      </c>
      <c r="N120" s="192" cm="1">
        <f t="array" ref="N120">Common_InputFunctions.Utility_DisplayArrayInTable(Fertiliser_SourceData.Fertiliser_Products_Data2(), FertiliserProducts[[#Headers],[Company]],31)</f>
        <v>13.94</v>
      </c>
      <c r="O120" s="192" t="str" cm="1">
        <f t="array" ref="O120">Common_InputFunctions.Utility_DisplayArrayInTable(Fertiliser_SourceData.Fertiliser_Products_Data2(), FertiliserProducts[[#Headers],[Company]],31)</f>
        <v>Sulphate of ammonia (SOA)</v>
      </c>
      <c r="P120" s="192" cm="1">
        <f t="array" ref="P120">Common_InputFunctions.Utility_DisplayArrayInTable(Fertiliser_SourceData.Fertiliser_Products_Data2(), FertiliserProducts[[#Headers],[Company]],31)</f>
        <v>0.58064499999999997</v>
      </c>
      <c r="Q120" s="192" t="str" cm="1">
        <f t="array" ref="Q120">Common_InputFunctions.Utility_DisplayArrayInTable(Fertiliser_SourceData.Fertiliser_Products_Data2(), FertiliserProducts[[#Headers],[Company]],31)</f>
        <v>Magnesium</v>
      </c>
      <c r="R120" s="192" cm="1">
        <f t="array" ref="R120">Common_InputFunctions.Utility_DisplayArrayInTable(Fertiliser_SourceData.Fertiliser_Products_Data2(), FertiliserProducts[[#Headers],[Company]],31)</f>
        <v>1.2E-2</v>
      </c>
      <c r="S120" s="192" t="str" cm="1">
        <f t="array" ref="S120">Common_InputFunctions.Utility_DisplayArrayInTable(Fertiliser_SourceData.Fertiliser_Products_Data2(), FertiliserProducts[[#Headers],[Company]],31)</f>
        <v/>
      </c>
      <c r="T120" s="192" t="str" cm="1">
        <f t="array" ref="T120">Common_InputFunctions.Utility_DisplayArrayInTable(Fertiliser_SourceData.Fertiliser_Products_Data2(), FertiliserProducts[[#Headers],[Company]],31)</f>
        <v/>
      </c>
      <c r="U120" s="192" t="str" cm="1">
        <f t="array" ref="U120">Common_InputFunctions.Utility_DisplayArrayInTable(Fertiliser_SourceData.Fertiliser_Products_Data2(), FertiliserProducts[[#Headers],[Company]],31)</f>
        <v/>
      </c>
      <c r="V120" s="192" t="str" cm="1">
        <f t="array" ref="V120">Common_InputFunctions.Utility_DisplayArrayInTable(Fertiliser_SourceData.Fertiliser_Products_Data2(), FertiliserProducts[[#Headers],[Company]],31)</f>
        <v/>
      </c>
      <c r="W120" s="192" t="str" cm="1">
        <f t="array" ref="W120">Common_InputFunctions.Utility_DisplayArrayInTable(Fertiliser_SourceData.Fertiliser_Products_Data2(), FertiliserProducts[[#Headers],[Company]],31)</f>
        <v/>
      </c>
      <c r="X120" s="192" t="str" cm="1">
        <f t="array" ref="X120">Common_InputFunctions.Utility_DisplayArrayInTable(Fertiliser_SourceData.Fertiliser_Products_Data2(), FertiliserProducts[[#Headers],[Company]],31)</f>
        <v/>
      </c>
      <c r="Y120" s="192" t="str" cm="1">
        <f t="array" ref="Y120">Common_InputFunctions.Utility_DisplayArrayInTable(Fertiliser_SourceData.Fertiliser_Products_Data2(), FertiliserProducts[[#Headers],[Company]],31)</f>
        <v/>
      </c>
      <c r="Z120" s="192" t="str" cm="1">
        <f t="array" ref="Z120">Common_InputFunctions.Utility_DisplayArrayInTable(Fertiliser_SourceData.Fertiliser_Products_Data2(), FertiliserProducts[[#Headers],[Company]],31)</f>
        <v/>
      </c>
      <c r="AA120" s="192" t="str" cm="1">
        <f t="array" ref="AA120">Common_InputFunctions.Utility_DisplayArrayInTable(Fertiliser_SourceData.Fertiliser_Products_Data2(), FertiliserProducts[[#Headers],[Company]],31)</f>
        <v/>
      </c>
      <c r="AB120" s="192" t="str" cm="1">
        <f t="array" ref="AB120">Common_InputFunctions.Utility_DisplayArrayInTable(Fertiliser_SourceData.Fertiliser_Products_Data2(), FertiliserProducts[[#Headers],[Company]],31)</f>
        <v/>
      </c>
      <c r="AC120" s="192" t="str" cm="1">
        <f t="array" ref="AC120">Common_InputFunctions.Utility_DisplayArrayInTable(Fertiliser_SourceData.Fertiliser_Products_Data2(), FertiliserProducts[[#Headers],[Company]],31)</f>
        <v/>
      </c>
      <c r="AD120" s="192" t="str" cm="1">
        <f t="array" ref="AD120">Common_InputFunctions.Utility_DisplayArrayInTable(Fertiliser_SourceData.Fertiliser_Products_Data2(), FertiliserProducts[[#Headers],[Company]],31)</f>
        <v/>
      </c>
      <c r="AE120" s="192" t="str" cm="1">
        <f t="array" ref="AE120">Common_InputFunctions.Utility_DisplayArrayInTable(Fertiliser_SourceData.Fertiliser_Products_Data2(), FertiliserProducts[[#Headers],[Company]],31)</f>
        <v/>
      </c>
      <c r="AF120" s="192" t="str" cm="1">
        <f t="array" ref="AF120">Common_InputFunctions.Utility_DisplayArrayInTable(Fertiliser_SourceData.Fertiliser_Products_Data2(), FertiliserProducts[[#Headers],[Company]],31)</f>
        <v/>
      </c>
      <c r="AG120" s="192" t="str" cm="1">
        <f t="array" ref="AG120">Common_InputFunctions.Utility_DisplayArrayInTable(Fertiliser_SourceData.Fertiliser_Products_Data2(), FertiliserProducts[[#Headers],[Company]],31)</f>
        <v/>
      </c>
      <c r="AH120" s="192" t="str" cm="1">
        <f t="array" ref="AH120">Common_InputFunctions.Utility_DisplayArrayInTable(Fertiliser_SourceData.Fertiliser_Products_Data2(), FertiliserProducts[[#Headers],[Company]],31)</f>
        <v/>
      </c>
      <c r="AK120" s="1"/>
      <c r="AL120" s="1"/>
      <c r="AM120" s="1"/>
    </row>
    <row r="121" spans="4:39" ht="20.100000000000001" customHeight="1" x14ac:dyDescent="0.25">
      <c r="D121" s="192" t="str" cm="1">
        <f t="array" ref="D121">Common_InputFunctions.Utility_DisplayArrayInTable(Fertiliser_SourceData.Fertiliser_Products_Data2(), FertiliserProducts[[#Headers],[Company]],31)</f>
        <v>Incitec Pivot Fertilisers</v>
      </c>
      <c r="E121" s="192" t="str" cm="1">
        <f t="array" ref="E121">Common_InputFunctions.Utility_DisplayArrayInTable(Fertiliser_SourceData.Fertiliser_Products_Data2(), FertiliserProducts[[#Headers],[Company]],31)</f>
        <v>Granulock SS</v>
      </c>
      <c r="F121" s="192" t="str" cm="1">
        <f t="array" ref="F121">Common_InputFunctions.Utility_DisplayArrayInTable(Fertiliser_SourceData.Fertiliser_Products_Data2(), FertiliserProducts[[#Headers],[Company]],31)</f>
        <v>kg</v>
      </c>
      <c r="G121" s="192" cm="1">
        <f t="array" ref="G121">Common_InputFunctions.Utility_DisplayArrayInTable(Fertiliser_SourceData.Fertiliser_Products_Data2(), FertiliserProducts[[#Headers],[Company]],31)</f>
        <v>1</v>
      </c>
      <c r="H121" s="192" t="str" cm="1">
        <f t="array" ref="H121">Common_InputFunctions.Utility_DisplayArrayInTable(Fertiliser_SourceData.Fertiliser_Products_Data2(), FertiliserProducts[[#Headers],[Company]],31)</f>
        <v/>
      </c>
      <c r="I121" s="192" t="str" cm="1">
        <f t="array" ref="I121">Common_InputFunctions.Utility_DisplayArrayInTable(Fertiliser_SourceData.Fertiliser_Products_Data2(), FertiliserProducts[[#Headers],[Company]],31)</f>
        <v/>
      </c>
      <c r="J121" s="192" t="str" cm="1">
        <f t="array" ref="J121">Common_InputFunctions.Utility_DisplayArrayInTable(Fertiliser_SourceData.Fertiliser_Products_Data2(), FertiliserProducts[[#Headers],[Company]],31)</f>
        <v/>
      </c>
      <c r="K121" s="192" cm="1">
        <f t="array" ref="K121">Common_InputFunctions.Utility_DisplayArrayInTable(Fertiliser_SourceData.Fertiliser_Products_Data2(), FertiliserProducts[[#Headers],[Company]],31)</f>
        <v>10</v>
      </c>
      <c r="L121" s="192" cm="1">
        <f t="array" ref="L121">Common_InputFunctions.Utility_DisplayArrayInTable(Fertiliser_SourceData.Fertiliser_Products_Data2(), FertiliserProducts[[#Headers],[Company]],31)</f>
        <v>17.5</v>
      </c>
      <c r="M121" s="192" t="str" cm="1">
        <f t="array" ref="M121">Common_InputFunctions.Utility_DisplayArrayInTable(Fertiliser_SourceData.Fertiliser_Products_Data2(), FertiliserProducts[[#Headers],[Company]],31)</f>
        <v/>
      </c>
      <c r="N121" s="192" cm="1">
        <f t="array" ref="N121">Common_InputFunctions.Utility_DisplayArrayInTable(Fertiliser_SourceData.Fertiliser_Products_Data2(), FertiliserProducts[[#Headers],[Company]],31)</f>
        <v>12</v>
      </c>
      <c r="O121" s="192" t="str" cm="1">
        <f t="array" ref="O121">Common_InputFunctions.Utility_DisplayArrayInTable(Fertiliser_SourceData.Fertiliser_Products_Data2(), FertiliserProducts[[#Headers],[Company]],31)</f>
        <v>Phosphorus - Generic</v>
      </c>
      <c r="P121" s="192" cm="1">
        <f t="array" ref="P121">Common_InputFunctions.Utility_DisplayArrayInTable(Fertiliser_SourceData.Fertiliser_Products_Data2(), FertiliserProducts[[#Headers],[Company]],31)</f>
        <v>0.17499999999999999</v>
      </c>
      <c r="Q121" s="192" t="str" cm="1">
        <f t="array" ref="Q121">Common_InputFunctions.Utility_DisplayArrayInTable(Fertiliser_SourceData.Fertiliser_Products_Data2(), FertiliserProducts[[#Headers],[Company]],31)</f>
        <v>Sulfur - Generic</v>
      </c>
      <c r="R121" s="192" cm="1">
        <f t="array" ref="R121">Common_InputFunctions.Utility_DisplayArrayInTable(Fertiliser_SourceData.Fertiliser_Products_Data2(), FertiliserProducts[[#Headers],[Company]],31)</f>
        <v>0.12</v>
      </c>
      <c r="S121" s="192" t="str" cm="1">
        <f t="array" ref="S121">Common_InputFunctions.Utility_DisplayArrayInTable(Fertiliser_SourceData.Fertiliser_Products_Data2(), FertiliserProducts[[#Headers],[Company]],31)</f>
        <v>Nitrogen - Ammoniacal</v>
      </c>
      <c r="T121" s="192" cm="1">
        <f t="array" ref="T121">Common_InputFunctions.Utility_DisplayArrayInTable(Fertiliser_SourceData.Fertiliser_Products_Data2(), FertiliserProducts[[#Headers],[Company]],31)</f>
        <v>0.1</v>
      </c>
      <c r="U121" s="192" t="str" cm="1">
        <f t="array" ref="U121">Common_InputFunctions.Utility_DisplayArrayInTable(Fertiliser_SourceData.Fertiliser_Products_Data2(), FertiliserProducts[[#Headers],[Company]],31)</f>
        <v>Fluoride</v>
      </c>
      <c r="V121" s="192" cm="1">
        <f t="array" ref="V121">Common_InputFunctions.Utility_DisplayArrayInTable(Fertiliser_SourceData.Fertiliser_Products_Data2(), FertiliserProducts[[#Headers],[Company]],31)</f>
        <v>0.03</v>
      </c>
      <c r="W121" s="192" t="str" cm="1">
        <f t="array" ref="W121">Common_InputFunctions.Utility_DisplayArrayInTable(Fertiliser_SourceData.Fertiliser_Products_Data2(), FertiliserProducts[[#Headers],[Company]],31)</f>
        <v/>
      </c>
      <c r="X121" s="192" t="str" cm="1">
        <f t="array" ref="X121">Common_InputFunctions.Utility_DisplayArrayInTable(Fertiliser_SourceData.Fertiliser_Products_Data2(), FertiliserProducts[[#Headers],[Company]],31)</f>
        <v/>
      </c>
      <c r="Y121" s="192" t="str" cm="1">
        <f t="array" ref="Y121">Common_InputFunctions.Utility_DisplayArrayInTable(Fertiliser_SourceData.Fertiliser_Products_Data2(), FertiliserProducts[[#Headers],[Company]],31)</f>
        <v/>
      </c>
      <c r="Z121" s="192" t="str" cm="1">
        <f t="array" ref="Z121">Common_InputFunctions.Utility_DisplayArrayInTable(Fertiliser_SourceData.Fertiliser_Products_Data2(), FertiliserProducts[[#Headers],[Company]],31)</f>
        <v/>
      </c>
      <c r="AA121" s="192" t="str" cm="1">
        <f t="array" ref="AA121">Common_InputFunctions.Utility_DisplayArrayInTable(Fertiliser_SourceData.Fertiliser_Products_Data2(), FertiliserProducts[[#Headers],[Company]],31)</f>
        <v/>
      </c>
      <c r="AB121" s="192" t="str" cm="1">
        <f t="array" ref="AB121">Common_InputFunctions.Utility_DisplayArrayInTable(Fertiliser_SourceData.Fertiliser_Products_Data2(), FertiliserProducts[[#Headers],[Company]],31)</f>
        <v/>
      </c>
      <c r="AC121" s="192" t="str" cm="1">
        <f t="array" ref="AC121">Common_InputFunctions.Utility_DisplayArrayInTable(Fertiliser_SourceData.Fertiliser_Products_Data2(), FertiliserProducts[[#Headers],[Company]],31)</f>
        <v/>
      </c>
      <c r="AD121" s="192" t="str" cm="1">
        <f t="array" ref="AD121">Common_InputFunctions.Utility_DisplayArrayInTable(Fertiliser_SourceData.Fertiliser_Products_Data2(), FertiliserProducts[[#Headers],[Company]],31)</f>
        <v/>
      </c>
      <c r="AE121" s="192" t="str" cm="1">
        <f t="array" ref="AE121">Common_InputFunctions.Utility_DisplayArrayInTable(Fertiliser_SourceData.Fertiliser_Products_Data2(), FertiliserProducts[[#Headers],[Company]],31)</f>
        <v/>
      </c>
      <c r="AF121" s="192" t="str" cm="1">
        <f t="array" ref="AF121">Common_InputFunctions.Utility_DisplayArrayInTable(Fertiliser_SourceData.Fertiliser_Products_Data2(), FertiliserProducts[[#Headers],[Company]],31)</f>
        <v/>
      </c>
      <c r="AG121" s="192" t="str" cm="1">
        <f t="array" ref="AG121">Common_InputFunctions.Utility_DisplayArrayInTable(Fertiliser_SourceData.Fertiliser_Products_Data2(), FertiliserProducts[[#Headers],[Company]],31)</f>
        <v/>
      </c>
      <c r="AH121" s="192" t="str" cm="1">
        <f t="array" ref="AH121">Common_InputFunctions.Utility_DisplayArrayInTable(Fertiliser_SourceData.Fertiliser_Products_Data2(), FertiliserProducts[[#Headers],[Company]],31)</f>
        <v/>
      </c>
      <c r="AK121" s="1"/>
      <c r="AL121" s="1"/>
      <c r="AM121" s="1"/>
    </row>
    <row r="122" spans="4:39" ht="20.100000000000001" customHeight="1" x14ac:dyDescent="0.25">
      <c r="D122" s="192" t="str" cm="1">
        <f t="array" ref="D122">Common_InputFunctions.Utility_DisplayArrayInTable(Fertiliser_SourceData.Fertiliser_Products_Data2(), FertiliserProducts[[#Headers],[Company]],31)</f>
        <v>Incitec Pivot Fertilisers</v>
      </c>
      <c r="E122" s="192" t="str" cm="1">
        <f t="array" ref="E122">Common_InputFunctions.Utility_DisplayArrayInTable(Fertiliser_SourceData.Fertiliser_Products_Data2(), FertiliserProducts[[#Headers],[Company]],31)</f>
        <v>Granulock Z</v>
      </c>
      <c r="F122" s="192" t="str" cm="1">
        <f t="array" ref="F122">Common_InputFunctions.Utility_DisplayArrayInTable(Fertiliser_SourceData.Fertiliser_Products_Data2(), FertiliserProducts[[#Headers],[Company]],31)</f>
        <v>kg</v>
      </c>
      <c r="G122" s="192" cm="1">
        <f t="array" ref="G122">Common_InputFunctions.Utility_DisplayArrayInTable(Fertiliser_SourceData.Fertiliser_Products_Data2(), FertiliserProducts[[#Headers],[Company]],31)</f>
        <v>1</v>
      </c>
      <c r="H122" s="192" t="str" cm="1">
        <f t="array" ref="H122">Common_InputFunctions.Utility_DisplayArrayInTable(Fertiliser_SourceData.Fertiliser_Products_Data2(), FertiliserProducts[[#Headers],[Company]],31)</f>
        <v/>
      </c>
      <c r="I122" s="192" t="str" cm="1">
        <f t="array" ref="I122">Common_InputFunctions.Utility_DisplayArrayInTable(Fertiliser_SourceData.Fertiliser_Products_Data2(), FertiliserProducts[[#Headers],[Company]],31)</f>
        <v/>
      </c>
      <c r="J122" s="192" t="str" cm="1">
        <f t="array" ref="J122">Common_InputFunctions.Utility_DisplayArrayInTable(Fertiliser_SourceData.Fertiliser_Products_Data2(), FertiliserProducts[[#Headers],[Company]],31)</f>
        <v/>
      </c>
      <c r="K122" s="192" cm="1">
        <f t="array" ref="K122">Common_InputFunctions.Utility_DisplayArrayInTable(Fertiliser_SourceData.Fertiliser_Products_Data2(), FertiliserProducts[[#Headers],[Company]],31)</f>
        <v>11</v>
      </c>
      <c r="L122" s="192" cm="1">
        <f t="array" ref="L122">Common_InputFunctions.Utility_DisplayArrayInTable(Fertiliser_SourceData.Fertiliser_Products_Data2(), FertiliserProducts[[#Headers],[Company]],31)</f>
        <v>21.8</v>
      </c>
      <c r="M122" s="192" t="str" cm="1">
        <f t="array" ref="M122">Common_InputFunctions.Utility_DisplayArrayInTable(Fertiliser_SourceData.Fertiliser_Products_Data2(), FertiliserProducts[[#Headers],[Company]],31)</f>
        <v/>
      </c>
      <c r="N122" s="192" cm="1">
        <f t="array" ref="N122">Common_InputFunctions.Utility_DisplayArrayInTable(Fertiliser_SourceData.Fertiliser_Products_Data2(), FertiliserProducts[[#Headers],[Company]],31)</f>
        <v>4</v>
      </c>
      <c r="O122" s="192" t="str" cm="1">
        <f t="array" ref="O122">Common_InputFunctions.Utility_DisplayArrayInTable(Fertiliser_SourceData.Fertiliser_Products_Data2(), FertiliserProducts[[#Headers],[Company]],31)</f>
        <v>Phosphorus - Generic</v>
      </c>
      <c r="P122" s="192" cm="1">
        <f t="array" ref="P122">Common_InputFunctions.Utility_DisplayArrayInTable(Fertiliser_SourceData.Fertiliser_Products_Data2(), FertiliserProducts[[#Headers],[Company]],31)</f>
        <v>0.218</v>
      </c>
      <c r="Q122" s="192" t="str" cm="1">
        <f t="array" ref="Q122">Common_InputFunctions.Utility_DisplayArrayInTable(Fertiliser_SourceData.Fertiliser_Products_Data2(), FertiliserProducts[[#Headers],[Company]],31)</f>
        <v>Nitrogen - Generic</v>
      </c>
      <c r="R122" s="192" cm="1">
        <f t="array" ref="R122">Common_InputFunctions.Utility_DisplayArrayInTable(Fertiliser_SourceData.Fertiliser_Products_Data2(), FertiliserProducts[[#Headers],[Company]],31)</f>
        <v>0.11</v>
      </c>
      <c r="S122" s="192" t="str" cm="1">
        <f t="array" ref="S122">Common_InputFunctions.Utility_DisplayArrayInTable(Fertiliser_SourceData.Fertiliser_Products_Data2(), FertiliserProducts[[#Headers],[Company]],31)</f>
        <v>Sulfur - Generic</v>
      </c>
      <c r="T122" s="192" cm="1">
        <f t="array" ref="T122">Common_InputFunctions.Utility_DisplayArrayInTable(Fertiliser_SourceData.Fertiliser_Products_Data2(), FertiliserProducts[[#Headers],[Company]],31)</f>
        <v>0.04</v>
      </c>
      <c r="U122" s="192" t="str" cm="1">
        <f t="array" ref="U122">Common_InputFunctions.Utility_DisplayArrayInTable(Fertiliser_SourceData.Fertiliser_Products_Data2(), FertiliserProducts[[#Headers],[Company]],31)</f>
        <v>Fluoride</v>
      </c>
      <c r="V122" s="192" cm="1">
        <f t="array" ref="V122">Common_InputFunctions.Utility_DisplayArrayInTable(Fertiliser_SourceData.Fertiliser_Products_Data2(), FertiliserProducts[[#Headers],[Company]],31)</f>
        <v>0.03</v>
      </c>
      <c r="W122" s="192" t="str" cm="1">
        <f t="array" ref="W122">Common_InputFunctions.Utility_DisplayArrayInTable(Fertiliser_SourceData.Fertiliser_Products_Data2(), FertiliserProducts[[#Headers],[Company]],31)</f>
        <v>Zinc</v>
      </c>
      <c r="X122" s="192" cm="1">
        <f t="array" ref="X122">Common_InputFunctions.Utility_DisplayArrayInTable(Fertiliser_SourceData.Fertiliser_Products_Data2(), FertiliserProducts[[#Headers],[Company]],31)</f>
        <v>0.01</v>
      </c>
      <c r="Y122" s="192" t="str" cm="1">
        <f t="array" ref="Y122">Common_InputFunctions.Utility_DisplayArrayInTable(Fertiliser_SourceData.Fertiliser_Products_Data2(), FertiliserProducts[[#Headers],[Company]],31)</f>
        <v/>
      </c>
      <c r="Z122" s="192" t="str" cm="1">
        <f t="array" ref="Z122">Common_InputFunctions.Utility_DisplayArrayInTable(Fertiliser_SourceData.Fertiliser_Products_Data2(), FertiliserProducts[[#Headers],[Company]],31)</f>
        <v/>
      </c>
      <c r="AA122" s="192" t="str" cm="1">
        <f t="array" ref="AA122">Common_InputFunctions.Utility_DisplayArrayInTable(Fertiliser_SourceData.Fertiliser_Products_Data2(), FertiliserProducts[[#Headers],[Company]],31)</f>
        <v/>
      </c>
      <c r="AB122" s="192" t="str" cm="1">
        <f t="array" ref="AB122">Common_InputFunctions.Utility_DisplayArrayInTable(Fertiliser_SourceData.Fertiliser_Products_Data2(), FertiliserProducts[[#Headers],[Company]],31)</f>
        <v/>
      </c>
      <c r="AC122" s="192" t="str" cm="1">
        <f t="array" ref="AC122">Common_InputFunctions.Utility_DisplayArrayInTable(Fertiliser_SourceData.Fertiliser_Products_Data2(), FertiliserProducts[[#Headers],[Company]],31)</f>
        <v/>
      </c>
      <c r="AD122" s="192" t="str" cm="1">
        <f t="array" ref="AD122">Common_InputFunctions.Utility_DisplayArrayInTable(Fertiliser_SourceData.Fertiliser_Products_Data2(), FertiliserProducts[[#Headers],[Company]],31)</f>
        <v/>
      </c>
      <c r="AE122" s="192" t="str" cm="1">
        <f t="array" ref="AE122">Common_InputFunctions.Utility_DisplayArrayInTable(Fertiliser_SourceData.Fertiliser_Products_Data2(), FertiliserProducts[[#Headers],[Company]],31)</f>
        <v/>
      </c>
      <c r="AF122" s="192" t="str" cm="1">
        <f t="array" ref="AF122">Common_InputFunctions.Utility_DisplayArrayInTable(Fertiliser_SourceData.Fertiliser_Products_Data2(), FertiliserProducts[[#Headers],[Company]],31)</f>
        <v/>
      </c>
      <c r="AG122" s="192" t="str" cm="1">
        <f t="array" ref="AG122">Common_InputFunctions.Utility_DisplayArrayInTable(Fertiliser_SourceData.Fertiliser_Products_Data2(), FertiliserProducts[[#Headers],[Company]],31)</f>
        <v/>
      </c>
      <c r="AH122" s="192" t="str" cm="1">
        <f t="array" ref="AH122">Common_InputFunctions.Utility_DisplayArrayInTable(Fertiliser_SourceData.Fertiliser_Products_Data2(), FertiliserProducts[[#Headers],[Company]],31)</f>
        <v/>
      </c>
      <c r="AK122" s="1"/>
      <c r="AL122" s="1"/>
      <c r="AM122" s="1"/>
    </row>
    <row r="123" spans="4:39" ht="20.100000000000001" customHeight="1" x14ac:dyDescent="0.25">
      <c r="D123" s="192" t="str" cm="1">
        <f t="array" ref="D123">Common_InputFunctions.Utility_DisplayArrayInTable(Fertiliser_SourceData.Fertiliser_Products_Data2(), FertiliserProducts[[#Headers],[Company]],31)</f>
        <v>Incitec Pivot Fertilisers</v>
      </c>
      <c r="E123" s="192" t="str" cm="1">
        <f t="array" ref="E123">Common_InputFunctions.Utility_DisplayArrayInTable(Fertiliser_SourceData.Fertiliser_Products_Data2(), FertiliserProducts[[#Headers],[Company]],31)</f>
        <v>Farm Ag Leichhardt</v>
      </c>
      <c r="F123" s="192" t="str" cm="1">
        <f t="array" ref="F123">Common_InputFunctions.Utility_DisplayArrayInTable(Fertiliser_SourceData.Fertiliser_Products_Data2(), FertiliserProducts[[#Headers],[Company]],31)</f>
        <v>kg</v>
      </c>
      <c r="G123" s="192" cm="1">
        <f t="array" ref="G123">Common_InputFunctions.Utility_DisplayArrayInTable(Fertiliser_SourceData.Fertiliser_Products_Data2(), FertiliserProducts[[#Headers],[Company]],31)</f>
        <v>1</v>
      </c>
      <c r="H123" s="192" t="str" cm="1">
        <f t="array" ref="H123">Common_InputFunctions.Utility_DisplayArrayInTable(Fertiliser_SourceData.Fertiliser_Products_Data2(), FertiliserProducts[[#Headers],[Company]],31)</f>
        <v/>
      </c>
      <c r="I123" s="192" t="str" cm="1">
        <f t="array" ref="I123">Common_InputFunctions.Utility_DisplayArrayInTable(Fertiliser_SourceData.Fertiliser_Products_Data2(), FertiliserProducts[[#Headers],[Company]],31)</f>
        <v/>
      </c>
      <c r="J123" s="192" t="str" cm="1">
        <f t="array" ref="J123">Common_InputFunctions.Utility_DisplayArrayInTable(Fertiliser_SourceData.Fertiliser_Products_Data2(), FertiliserProducts[[#Headers],[Company]],31)</f>
        <v/>
      </c>
      <c r="K123" s="192" cm="1">
        <f t="array" ref="K123">Common_InputFunctions.Utility_DisplayArrayInTable(Fertiliser_SourceData.Fertiliser_Products_Data2(), FertiliserProducts[[#Headers],[Company]],31)</f>
        <v>32.5</v>
      </c>
      <c r="L123" s="192" cm="1">
        <f t="array" ref="L123">Common_InputFunctions.Utility_DisplayArrayInTable(Fertiliser_SourceData.Fertiliser_Products_Data2(), FertiliserProducts[[#Headers],[Company]],31)</f>
        <v>5.4</v>
      </c>
      <c r="M123" s="192" cm="1">
        <f t="array" ref="M123">Common_InputFunctions.Utility_DisplayArrayInTable(Fertiliser_SourceData.Fertiliser_Products_Data2(), FertiliserProducts[[#Headers],[Company]],31)</f>
        <v>6.25</v>
      </c>
      <c r="N123" s="192" t="str" cm="1">
        <f t="array" ref="N123">Common_InputFunctions.Utility_DisplayArrayInTable(Fertiliser_SourceData.Fertiliser_Products_Data2(), FertiliserProducts[[#Headers],[Company]],31)</f>
        <v/>
      </c>
      <c r="O123" s="192" t="str" cm="1">
        <f t="array" ref="O123">Common_InputFunctions.Utility_DisplayArrayInTable(Fertiliser_SourceData.Fertiliser_Products_Data2(), FertiliserProducts[[#Headers],[Company]],31)</f>
        <v>Urea</v>
      </c>
      <c r="P123" s="192" cm="1">
        <f t="array" ref="P123">Common_InputFunctions.Utility_DisplayArrayInTable(Fertiliser_SourceData.Fertiliser_Products_Data2(), FertiliserProducts[[#Headers],[Company]],31)</f>
        <v>0.6</v>
      </c>
      <c r="Q123" s="192" t="str" cm="1">
        <f t="array" ref="Q123">Common_InputFunctions.Utility_DisplayArrayInTable(Fertiliser_SourceData.Fertiliser_Products_Data2(), FertiliserProducts[[#Headers],[Company]],31)</f>
        <v>Nitrogen - Ammoniacal</v>
      </c>
      <c r="R123" s="192" cm="1">
        <f t="array" ref="R123">Common_InputFunctions.Utility_DisplayArrayInTable(Fertiliser_SourceData.Fertiliser_Products_Data2(), FertiliserProducts[[#Headers],[Company]],31)</f>
        <v>4.9000000000000002E-2</v>
      </c>
      <c r="S123" s="192" t="str" cm="1">
        <f t="array" ref="S123">Common_InputFunctions.Utility_DisplayArrayInTable(Fertiliser_SourceData.Fertiliser_Products_Data2(), FertiliserProducts[[#Headers],[Company]],31)</f>
        <v>Phosphorus - Generic</v>
      </c>
      <c r="T123" s="192" cm="1">
        <f t="array" ref="T123">Common_InputFunctions.Utility_DisplayArrayInTable(Fertiliser_SourceData.Fertiliser_Products_Data2(), FertiliserProducts[[#Headers],[Company]],31)</f>
        <v>5.3999999999999999E-2</v>
      </c>
      <c r="U123" s="192" t="str" cm="1">
        <f t="array" ref="U123">Common_InputFunctions.Utility_DisplayArrayInTable(Fertiliser_SourceData.Fertiliser_Products_Data2(), FertiliserProducts[[#Headers],[Company]],31)</f>
        <v>Muriate of potash (MOP)</v>
      </c>
      <c r="V123" s="192" cm="1">
        <f t="array" ref="V123">Common_InputFunctions.Utility_DisplayArrayInTable(Fertiliser_SourceData.Fertiliser_Products_Data2(), FertiliserProducts[[#Headers],[Company]],31)</f>
        <v>0.125</v>
      </c>
      <c r="W123" s="192" t="str" cm="1">
        <f t="array" ref="W123">Common_InputFunctions.Utility_DisplayArrayInTable(Fertiliser_SourceData.Fertiliser_Products_Data2(), FertiliserProducts[[#Headers],[Company]],31)</f>
        <v/>
      </c>
      <c r="X123" s="192" t="str" cm="1">
        <f t="array" ref="X123">Common_InputFunctions.Utility_DisplayArrayInTable(Fertiliser_SourceData.Fertiliser_Products_Data2(), FertiliserProducts[[#Headers],[Company]],31)</f>
        <v/>
      </c>
      <c r="Y123" s="192" t="str" cm="1">
        <f t="array" ref="Y123">Common_InputFunctions.Utility_DisplayArrayInTable(Fertiliser_SourceData.Fertiliser_Products_Data2(), FertiliserProducts[[#Headers],[Company]],31)</f>
        <v/>
      </c>
      <c r="Z123" s="192" t="str" cm="1">
        <f t="array" ref="Z123">Common_InputFunctions.Utility_DisplayArrayInTable(Fertiliser_SourceData.Fertiliser_Products_Data2(), FertiliserProducts[[#Headers],[Company]],31)</f>
        <v/>
      </c>
      <c r="AA123" s="192" t="str" cm="1">
        <f t="array" ref="AA123">Common_InputFunctions.Utility_DisplayArrayInTable(Fertiliser_SourceData.Fertiliser_Products_Data2(), FertiliserProducts[[#Headers],[Company]],31)</f>
        <v/>
      </c>
      <c r="AB123" s="192" t="str" cm="1">
        <f t="array" ref="AB123">Common_InputFunctions.Utility_DisplayArrayInTable(Fertiliser_SourceData.Fertiliser_Products_Data2(), FertiliserProducts[[#Headers],[Company]],31)</f>
        <v/>
      </c>
      <c r="AC123" s="192" t="str" cm="1">
        <f t="array" ref="AC123">Common_InputFunctions.Utility_DisplayArrayInTable(Fertiliser_SourceData.Fertiliser_Products_Data2(), FertiliserProducts[[#Headers],[Company]],31)</f>
        <v/>
      </c>
      <c r="AD123" s="192" t="str" cm="1">
        <f t="array" ref="AD123">Common_InputFunctions.Utility_DisplayArrayInTable(Fertiliser_SourceData.Fertiliser_Products_Data2(), FertiliserProducts[[#Headers],[Company]],31)</f>
        <v/>
      </c>
      <c r="AE123" s="192" t="str" cm="1">
        <f t="array" ref="AE123">Common_InputFunctions.Utility_DisplayArrayInTable(Fertiliser_SourceData.Fertiliser_Products_Data2(), FertiliserProducts[[#Headers],[Company]],31)</f>
        <v/>
      </c>
      <c r="AF123" s="192" t="str" cm="1">
        <f t="array" ref="AF123">Common_InputFunctions.Utility_DisplayArrayInTable(Fertiliser_SourceData.Fertiliser_Products_Data2(), FertiliserProducts[[#Headers],[Company]],31)</f>
        <v/>
      </c>
      <c r="AG123" s="192" t="str" cm="1">
        <f t="array" ref="AG123">Common_InputFunctions.Utility_DisplayArrayInTable(Fertiliser_SourceData.Fertiliser_Products_Data2(), FertiliserProducts[[#Headers],[Company]],31)</f>
        <v/>
      </c>
      <c r="AH123" s="192" t="str" cm="1">
        <f t="array" ref="AH123">Common_InputFunctions.Utility_DisplayArrayInTable(Fertiliser_SourceData.Fertiliser_Products_Data2(), FertiliserProducts[[#Headers],[Company]],31)</f>
        <v/>
      </c>
      <c r="AK123" s="1"/>
      <c r="AL123" s="1"/>
      <c r="AM123" s="1"/>
    </row>
    <row r="124" spans="4:39" ht="20.100000000000001" customHeight="1" x14ac:dyDescent="0.25">
      <c r="D124" s="192" t="str" cm="1">
        <f t="array" ref="D124">Common_InputFunctions.Utility_DisplayArrayInTable(Fertiliser_SourceData.Fertiliser_Products_Data2(), FertiliserProducts[[#Headers],[Company]],31)</f>
        <v>Ravensdown</v>
      </c>
      <c r="E124" s="192" t="str" cm="1">
        <f t="array" ref="E124">Common_InputFunctions.Utility_DisplayArrayInTable(Fertiliser_SourceData.Fertiliser_Products_Data2(), FertiliserProducts[[#Headers],[Company]],31)</f>
        <v>Flexi-N NBPT</v>
      </c>
      <c r="F124" s="192" t="str" cm="1">
        <f t="array" ref="F124">Common_InputFunctions.Utility_DisplayArrayInTable(Fertiliser_SourceData.Fertiliser_Products_Data2(), FertiliserProducts[[#Headers],[Company]],31)</f>
        <v>kg</v>
      </c>
      <c r="G124" s="192" cm="1">
        <f t="array" ref="G124">Common_InputFunctions.Utility_DisplayArrayInTable(Fertiliser_SourceData.Fertiliser_Products_Data2(), FertiliserProducts[[#Headers],[Company]],31)</f>
        <v>1</v>
      </c>
      <c r="H124" s="192" t="str" cm="1">
        <f t="array" ref="H124">Common_InputFunctions.Utility_DisplayArrayInTable(Fertiliser_SourceData.Fertiliser_Products_Data2(), FertiliserProducts[[#Headers],[Company]],31)</f>
        <v>Yes</v>
      </c>
      <c r="I124" s="192" t="str" cm="1">
        <f t="array" ref="I124">Common_InputFunctions.Utility_DisplayArrayInTable(Fertiliser_SourceData.Fertiliser_Products_Data2(), FertiliserProducts[[#Headers],[Company]],31)</f>
        <v/>
      </c>
      <c r="J124" s="192" t="str" cm="1">
        <f t="array" ref="J124">Common_InputFunctions.Utility_DisplayArrayInTable(Fertiliser_SourceData.Fertiliser_Products_Data2(), FertiliserProducts[[#Headers],[Company]],31)</f>
        <v/>
      </c>
      <c r="K124" s="192" cm="1">
        <f t="array" ref="K124">Common_InputFunctions.Utility_DisplayArrayInTable(Fertiliser_SourceData.Fertiliser_Products_Data2(), FertiliserProducts[[#Headers],[Company]],31)</f>
        <v>45.54</v>
      </c>
      <c r="L124" s="192" t="str" cm="1">
        <f t="array" ref="L124">Common_InputFunctions.Utility_DisplayArrayInTable(Fertiliser_SourceData.Fertiliser_Products_Data2(), FertiliserProducts[[#Headers],[Company]],31)</f>
        <v/>
      </c>
      <c r="M124" s="192" t="str" cm="1">
        <f t="array" ref="M124">Common_InputFunctions.Utility_DisplayArrayInTable(Fertiliser_SourceData.Fertiliser_Products_Data2(), FertiliserProducts[[#Headers],[Company]],31)</f>
        <v/>
      </c>
      <c r="N124" s="192" t="str" cm="1">
        <f t="array" ref="N124">Common_InputFunctions.Utility_DisplayArrayInTable(Fertiliser_SourceData.Fertiliser_Products_Data2(), FertiliserProducts[[#Headers],[Company]],31)</f>
        <v/>
      </c>
      <c r="O124" s="192" t="str" cm="1">
        <f t="array" ref="O124">Common_InputFunctions.Utility_DisplayArrayInTable(Fertiliser_SourceData.Fertiliser_Products_Data2(), FertiliserProducts[[#Headers],[Company]],31)</f>
        <v>Urea</v>
      </c>
      <c r="P124" s="192" cm="1">
        <f t="array" ref="P124">Common_InputFunctions.Utility_DisplayArrayInTable(Fertiliser_SourceData.Fertiliser_Products_Data2(), FertiliserProducts[[#Headers],[Company]],31)</f>
        <v>0.99</v>
      </c>
      <c r="Q124" s="192" t="str" cm="1">
        <f t="array" ref="Q124">Common_InputFunctions.Utility_DisplayArrayInTable(Fertiliser_SourceData.Fertiliser_Products_Data2(), FertiliserProducts[[#Headers],[Company]],31)</f>
        <v/>
      </c>
      <c r="R124" s="192" t="str" cm="1">
        <f t="array" ref="R124">Common_InputFunctions.Utility_DisplayArrayInTable(Fertiliser_SourceData.Fertiliser_Products_Data2(), FertiliserProducts[[#Headers],[Company]],31)</f>
        <v/>
      </c>
      <c r="S124" s="192" t="str" cm="1">
        <f t="array" ref="S124">Common_InputFunctions.Utility_DisplayArrayInTable(Fertiliser_SourceData.Fertiliser_Products_Data2(), FertiliserProducts[[#Headers],[Company]],31)</f>
        <v/>
      </c>
      <c r="T124" s="192" t="str" cm="1">
        <f t="array" ref="T124">Common_InputFunctions.Utility_DisplayArrayInTable(Fertiliser_SourceData.Fertiliser_Products_Data2(), FertiliserProducts[[#Headers],[Company]],31)</f>
        <v/>
      </c>
      <c r="U124" s="192" t="str" cm="1">
        <f t="array" ref="U124">Common_InputFunctions.Utility_DisplayArrayInTable(Fertiliser_SourceData.Fertiliser_Products_Data2(), FertiliserProducts[[#Headers],[Company]],31)</f>
        <v/>
      </c>
      <c r="V124" s="192" t="str" cm="1">
        <f t="array" ref="V124">Common_InputFunctions.Utility_DisplayArrayInTable(Fertiliser_SourceData.Fertiliser_Products_Data2(), FertiliserProducts[[#Headers],[Company]],31)</f>
        <v/>
      </c>
      <c r="W124" s="192" t="str" cm="1">
        <f t="array" ref="W124">Common_InputFunctions.Utility_DisplayArrayInTable(Fertiliser_SourceData.Fertiliser_Products_Data2(), FertiliserProducts[[#Headers],[Company]],31)</f>
        <v/>
      </c>
      <c r="X124" s="192" t="str" cm="1">
        <f t="array" ref="X124">Common_InputFunctions.Utility_DisplayArrayInTable(Fertiliser_SourceData.Fertiliser_Products_Data2(), FertiliserProducts[[#Headers],[Company]],31)</f>
        <v/>
      </c>
      <c r="Y124" s="192" t="str" cm="1">
        <f t="array" ref="Y124">Common_InputFunctions.Utility_DisplayArrayInTable(Fertiliser_SourceData.Fertiliser_Products_Data2(), FertiliserProducts[[#Headers],[Company]],31)</f>
        <v/>
      </c>
      <c r="Z124" s="192" t="str" cm="1">
        <f t="array" ref="Z124">Common_InputFunctions.Utility_DisplayArrayInTable(Fertiliser_SourceData.Fertiliser_Products_Data2(), FertiliserProducts[[#Headers],[Company]],31)</f>
        <v/>
      </c>
      <c r="AA124" s="192" t="str" cm="1">
        <f t="array" ref="AA124">Common_InputFunctions.Utility_DisplayArrayInTable(Fertiliser_SourceData.Fertiliser_Products_Data2(), FertiliserProducts[[#Headers],[Company]],31)</f>
        <v/>
      </c>
      <c r="AB124" s="192" t="str" cm="1">
        <f t="array" ref="AB124">Common_InputFunctions.Utility_DisplayArrayInTable(Fertiliser_SourceData.Fertiliser_Products_Data2(), FertiliserProducts[[#Headers],[Company]],31)</f>
        <v/>
      </c>
      <c r="AC124" s="192" t="str" cm="1">
        <f t="array" ref="AC124">Common_InputFunctions.Utility_DisplayArrayInTable(Fertiliser_SourceData.Fertiliser_Products_Data2(), FertiliserProducts[[#Headers],[Company]],31)</f>
        <v/>
      </c>
      <c r="AD124" s="192" t="str" cm="1">
        <f t="array" ref="AD124">Common_InputFunctions.Utility_DisplayArrayInTable(Fertiliser_SourceData.Fertiliser_Products_Data2(), FertiliserProducts[[#Headers],[Company]],31)</f>
        <v/>
      </c>
      <c r="AE124" s="192" t="str" cm="1">
        <f t="array" ref="AE124">Common_InputFunctions.Utility_DisplayArrayInTable(Fertiliser_SourceData.Fertiliser_Products_Data2(), FertiliserProducts[[#Headers],[Company]],31)</f>
        <v/>
      </c>
      <c r="AF124" s="192" t="str" cm="1">
        <f t="array" ref="AF124">Common_InputFunctions.Utility_DisplayArrayInTable(Fertiliser_SourceData.Fertiliser_Products_Data2(), FertiliserProducts[[#Headers],[Company]],31)</f>
        <v/>
      </c>
      <c r="AG124" s="192" t="str" cm="1">
        <f t="array" ref="AG124">Common_InputFunctions.Utility_DisplayArrayInTable(Fertiliser_SourceData.Fertiliser_Products_Data2(), FertiliserProducts[[#Headers],[Company]],31)</f>
        <v/>
      </c>
      <c r="AH124" s="192" t="str" cm="1">
        <f t="array" ref="AH124">Common_InputFunctions.Utility_DisplayArrayInTable(Fertiliser_SourceData.Fertiliser_Products_Data2(), FertiliserProducts[[#Headers],[Company]],31)</f>
        <v/>
      </c>
      <c r="AK124" s="1"/>
      <c r="AL124" s="1"/>
      <c r="AM124" s="1"/>
    </row>
    <row r="125" spans="4:39" ht="20.100000000000001" customHeight="1" x14ac:dyDescent="0.25">
      <c r="D125" s="192" t="str" cm="1">
        <f t="array" ref="D125">Common_InputFunctions.Utility_DisplayArrayInTable(Fertiliser_SourceData.Fertiliser_Products_Data2(), FertiliserProducts[[#Headers],[Company]],31)</f>
        <v>Campbells fertilisers Australia</v>
      </c>
      <c r="E125" s="192" t="str" cm="1">
        <f t="array" ref="E125">Common_InputFunctions.Utility_DisplayArrayInTable(Fertiliser_SourceData.Fertiliser_Products_Data2(), FertiliserProducts[[#Headers],[Company]],31)</f>
        <v>Gold Premium</v>
      </c>
      <c r="F125" s="192" t="str" cm="1">
        <f t="array" ref="F125">Common_InputFunctions.Utility_DisplayArrayInTable(Fertiliser_SourceData.Fertiliser_Products_Data2(), FertiliserProducts[[#Headers],[Company]],31)</f>
        <v>kg</v>
      </c>
      <c r="G125" s="192" cm="1">
        <f t="array" ref="G125">Common_InputFunctions.Utility_DisplayArrayInTable(Fertiliser_SourceData.Fertiliser_Products_Data2(), FertiliserProducts[[#Headers],[Company]],31)</f>
        <v>1</v>
      </c>
      <c r="H125" s="192" t="str" cm="1">
        <f t="array" ref="H125">Common_InputFunctions.Utility_DisplayArrayInTable(Fertiliser_SourceData.Fertiliser_Products_Data2(), FertiliserProducts[[#Headers],[Company]],31)</f>
        <v/>
      </c>
      <c r="I125" s="192" t="str" cm="1">
        <f t="array" ref="I125">Common_InputFunctions.Utility_DisplayArrayInTable(Fertiliser_SourceData.Fertiliser_Products_Data2(), FertiliserProducts[[#Headers],[Company]],31)</f>
        <v/>
      </c>
      <c r="J125" s="192" t="str" cm="1">
        <f t="array" ref="J125">Common_InputFunctions.Utility_DisplayArrayInTable(Fertiliser_SourceData.Fertiliser_Products_Data2(), FertiliserProducts[[#Headers],[Company]],31)</f>
        <v/>
      </c>
      <c r="K125" s="192" cm="1">
        <f t="array" ref="K125">Common_InputFunctions.Utility_DisplayArrayInTable(Fertiliser_SourceData.Fertiliser_Products_Data2(), FertiliserProducts[[#Headers],[Company]],31)</f>
        <v>14.87</v>
      </c>
      <c r="L125" s="192" cm="1">
        <f t="array" ref="L125">Common_InputFunctions.Utility_DisplayArrayInTable(Fertiliser_SourceData.Fertiliser_Products_Data2(), FertiliserProducts[[#Headers],[Company]],31)</f>
        <v>2.2000000000000002</v>
      </c>
      <c r="M125" s="192" cm="1">
        <f t="array" ref="M125">Common_InputFunctions.Utility_DisplayArrayInTable(Fertiliser_SourceData.Fertiliser_Products_Data2(), FertiliserProducts[[#Headers],[Company]],31)</f>
        <v>16.600000000000001</v>
      </c>
      <c r="N125" s="192" cm="1">
        <f t="array" ref="N125">Common_InputFunctions.Utility_DisplayArrayInTable(Fertiliser_SourceData.Fertiliser_Products_Data2(), FertiliserProducts[[#Headers],[Company]],31)</f>
        <v>8</v>
      </c>
      <c r="O125" s="192" t="str" cm="1">
        <f t="array" ref="O125">Common_InputFunctions.Utility_DisplayArrayInTable(Fertiliser_SourceData.Fertiliser_Products_Data2(), FertiliserProducts[[#Headers],[Company]],31)</f>
        <v>Ammonium nitrate (AN)</v>
      </c>
      <c r="P125" s="192" cm="1">
        <f t="array" ref="P125">Common_InputFunctions.Utility_DisplayArrayInTable(Fertiliser_SourceData.Fertiliser_Products_Data2(), FertiliserProducts[[#Headers],[Company]],31)</f>
        <v>0.44117600000000001</v>
      </c>
      <c r="Q125" s="192" t="str" cm="1">
        <f t="array" ref="Q125">Common_InputFunctions.Utility_DisplayArrayInTable(Fertiliser_SourceData.Fertiliser_Products_Data2(), FertiliserProducts[[#Headers],[Company]],31)</f>
        <v>Potassium - Generic</v>
      </c>
      <c r="R125" s="192" cm="1">
        <f t="array" ref="R125">Common_InputFunctions.Utility_DisplayArrayInTable(Fertiliser_SourceData.Fertiliser_Products_Data2(), FertiliserProducts[[#Headers],[Company]],31)</f>
        <v>0.16600000000000001</v>
      </c>
      <c r="S125" s="192" t="str" cm="1">
        <f t="array" ref="S125">Common_InputFunctions.Utility_DisplayArrayInTable(Fertiliser_SourceData.Fertiliser_Products_Data2(), FertiliserProducts[[#Headers],[Company]],31)</f>
        <v>Sulfur - Generic</v>
      </c>
      <c r="T125" s="192" cm="1">
        <f t="array" ref="T125">Common_InputFunctions.Utility_DisplayArrayInTable(Fertiliser_SourceData.Fertiliser_Products_Data2(), FertiliserProducts[[#Headers],[Company]],31)</f>
        <v>0.08</v>
      </c>
      <c r="U125" s="192" t="str" cm="1">
        <f t="array" ref="U125">Common_InputFunctions.Utility_DisplayArrayInTable(Fertiliser_SourceData.Fertiliser_Products_Data2(), FertiliserProducts[[#Headers],[Company]],31)</f>
        <v>Phosphorus - Generic</v>
      </c>
      <c r="V125" s="192" cm="1">
        <f t="array" ref="V125">Common_InputFunctions.Utility_DisplayArrayInTable(Fertiliser_SourceData.Fertiliser_Products_Data2(), FertiliserProducts[[#Headers],[Company]],31)</f>
        <v>2.1999999999999999E-2</v>
      </c>
      <c r="W125" s="192" t="str" cm="1">
        <f t="array" ref="W125">Common_InputFunctions.Utility_DisplayArrayInTable(Fertiliser_SourceData.Fertiliser_Products_Data2(), FertiliserProducts[[#Headers],[Company]],31)</f>
        <v>Magnesium</v>
      </c>
      <c r="X125" s="192" cm="1">
        <f t="array" ref="X125">Common_InputFunctions.Utility_DisplayArrayInTable(Fertiliser_SourceData.Fertiliser_Products_Data2(), FertiliserProducts[[#Headers],[Company]],31)</f>
        <v>1.2E-2</v>
      </c>
      <c r="Y125" s="192" t="str" cm="1">
        <f t="array" ref="Y125">Common_InputFunctions.Utility_DisplayArrayInTable(Fertiliser_SourceData.Fertiliser_Products_Data2(), FertiliserProducts[[#Headers],[Company]],31)</f>
        <v>Boron</v>
      </c>
      <c r="Z125" s="192" cm="1">
        <f t="array" ref="Z125">Common_InputFunctions.Utility_DisplayArrayInTable(Fertiliser_SourceData.Fertiliser_Products_Data2(), FertiliserProducts[[#Headers],[Company]],31)</f>
        <v>2.0000000000000001E-4</v>
      </c>
      <c r="AA125" s="192" t="str" cm="1">
        <f t="array" ref="AA125">Common_InputFunctions.Utility_DisplayArrayInTable(Fertiliser_SourceData.Fertiliser_Products_Data2(), FertiliserProducts[[#Headers],[Company]],31)</f>
        <v>Zinc</v>
      </c>
      <c r="AB125" s="192" cm="1">
        <f t="array" ref="AB125">Common_InputFunctions.Utility_DisplayArrayInTable(Fertiliser_SourceData.Fertiliser_Products_Data2(), FertiliserProducts[[#Headers],[Company]],31)</f>
        <v>1E-4</v>
      </c>
      <c r="AC125" s="192" t="str" cm="1">
        <f t="array" ref="AC125">Common_InputFunctions.Utility_DisplayArrayInTable(Fertiliser_SourceData.Fertiliser_Products_Data2(), FertiliserProducts[[#Headers],[Company]],31)</f>
        <v/>
      </c>
      <c r="AD125" s="192" t="str" cm="1">
        <f t="array" ref="AD125">Common_InputFunctions.Utility_DisplayArrayInTable(Fertiliser_SourceData.Fertiliser_Products_Data2(), FertiliserProducts[[#Headers],[Company]],31)</f>
        <v/>
      </c>
      <c r="AE125" s="192" t="str" cm="1">
        <f t="array" ref="AE125">Common_InputFunctions.Utility_DisplayArrayInTable(Fertiliser_SourceData.Fertiliser_Products_Data2(), FertiliserProducts[[#Headers],[Company]],31)</f>
        <v/>
      </c>
      <c r="AF125" s="192" t="str" cm="1">
        <f t="array" ref="AF125">Common_InputFunctions.Utility_DisplayArrayInTable(Fertiliser_SourceData.Fertiliser_Products_Data2(), FertiliserProducts[[#Headers],[Company]],31)</f>
        <v/>
      </c>
      <c r="AG125" s="192" t="str" cm="1">
        <f t="array" ref="AG125">Common_InputFunctions.Utility_DisplayArrayInTable(Fertiliser_SourceData.Fertiliser_Products_Data2(), FertiliserProducts[[#Headers],[Company]],31)</f>
        <v/>
      </c>
      <c r="AH125" s="192" t="str" cm="1">
        <f t="array" ref="AH125">Common_InputFunctions.Utility_DisplayArrayInTable(Fertiliser_SourceData.Fertiliser_Products_Data2(), FertiliserProducts[[#Headers],[Company]],31)</f>
        <v/>
      </c>
      <c r="AK125" s="1"/>
      <c r="AL125" s="1"/>
      <c r="AM125" s="1"/>
    </row>
    <row r="126" spans="4:39" ht="20.100000000000001" customHeight="1" x14ac:dyDescent="0.25">
      <c r="D126" s="192" t="str" cm="1">
        <f t="array" ref="D126">Common_InputFunctions.Utility_DisplayArrayInTable(Fertiliser_SourceData.Fertiliser_Products_Data2(), FertiliserProducts[[#Headers],[Company]],31)</f>
        <v>SL Tec</v>
      </c>
      <c r="E126" s="192" t="str" cm="1">
        <f t="array" ref="E126">Common_InputFunctions.Utility_DisplayArrayInTable(Fertiliser_SourceData.Fertiliser_Products_Data2(), FertiliserProducts[[#Headers],[Company]],31)</f>
        <v>High NS</v>
      </c>
      <c r="F126" s="192" t="str" cm="1">
        <f t="array" ref="F126">Common_InputFunctions.Utility_DisplayArrayInTable(Fertiliser_SourceData.Fertiliser_Products_Data2(), FertiliserProducts[[#Headers],[Company]],31)</f>
        <v>L</v>
      </c>
      <c r="G126" s="192" cm="1">
        <f t="array" ref="G126">Common_InputFunctions.Utility_DisplayArrayInTable(Fertiliser_SourceData.Fertiliser_Products_Data2(), FertiliserProducts[[#Headers],[Company]],31)</f>
        <v>1.2989999999999999</v>
      </c>
      <c r="H126" s="192" t="str" cm="1">
        <f t="array" ref="H126">Common_InputFunctions.Utility_DisplayArrayInTable(Fertiliser_SourceData.Fertiliser_Products_Data2(), FertiliserProducts[[#Headers],[Company]],31)</f>
        <v/>
      </c>
      <c r="I126" s="192" t="str" cm="1">
        <f t="array" ref="I126">Common_InputFunctions.Utility_DisplayArrayInTable(Fertiliser_SourceData.Fertiliser_Products_Data2(), FertiliserProducts[[#Headers],[Company]],31)</f>
        <v/>
      </c>
      <c r="J126" s="192" t="str" cm="1">
        <f t="array" ref="J126">Common_InputFunctions.Utility_DisplayArrayInTable(Fertiliser_SourceData.Fertiliser_Products_Data2(), FertiliserProducts[[#Headers],[Company]],31)</f>
        <v/>
      </c>
      <c r="K126" s="192" cm="1">
        <f t="array" ref="K126">Common_InputFunctions.Utility_DisplayArrayInTable(Fertiliser_SourceData.Fertiliser_Products_Data2(), FertiliserProducts[[#Headers],[Company]],31)</f>
        <v>38</v>
      </c>
      <c r="L126" s="192" t="str" cm="1">
        <f t="array" ref="L126">Common_InputFunctions.Utility_DisplayArrayInTable(Fertiliser_SourceData.Fertiliser_Products_Data2(), FertiliserProducts[[#Headers],[Company]],31)</f>
        <v/>
      </c>
      <c r="M126" s="192" t="str" cm="1">
        <f t="array" ref="M126">Common_InputFunctions.Utility_DisplayArrayInTable(Fertiliser_SourceData.Fertiliser_Products_Data2(), FertiliserProducts[[#Headers],[Company]],31)</f>
        <v/>
      </c>
      <c r="N126" s="192" cm="1">
        <f t="array" ref="N126">Common_InputFunctions.Utility_DisplayArrayInTable(Fertiliser_SourceData.Fertiliser_Products_Data2(), FertiliserProducts[[#Headers],[Company]],31)</f>
        <v>2</v>
      </c>
      <c r="O126" s="192" t="str" cm="1">
        <f t="array" ref="O126">Common_InputFunctions.Utility_DisplayArrayInTable(Fertiliser_SourceData.Fertiliser_Products_Data2(), FertiliserProducts[[#Headers],[Company]],31)</f>
        <v>Urea</v>
      </c>
      <c r="P126" s="192" cm="1">
        <f t="array" ref="P126">Common_InputFunctions.Utility_DisplayArrayInTable(Fertiliser_SourceData.Fertiliser_Products_Data2(), FertiliserProducts[[#Headers],[Company]],31)</f>
        <v>0.46087</v>
      </c>
      <c r="Q126" s="192" t="str" cm="1">
        <f t="array" ref="Q126">Common_InputFunctions.Utility_DisplayArrayInTable(Fertiliser_SourceData.Fertiliser_Products_Data2(), FertiliserProducts[[#Headers],[Company]],31)</f>
        <v>Nitrogen - Ammoniacal</v>
      </c>
      <c r="R126" s="192" cm="1">
        <f t="array" ref="R126">Common_InputFunctions.Utility_DisplayArrayInTable(Fertiliser_SourceData.Fertiliser_Products_Data2(), FertiliserProducts[[#Headers],[Company]],31)</f>
        <v>9.1999999999999998E-2</v>
      </c>
      <c r="S126" s="192" t="str" cm="1">
        <f t="array" ref="S126">Common_InputFunctions.Utility_DisplayArrayInTable(Fertiliser_SourceData.Fertiliser_Products_Data2(), FertiliserProducts[[#Headers],[Company]],31)</f>
        <v>Nitrogen - Nitrate</v>
      </c>
      <c r="T126" s="192" cm="1">
        <f t="array" ref="T126">Common_InputFunctions.Utility_DisplayArrayInTable(Fertiliser_SourceData.Fertiliser_Products_Data2(), FertiliserProducts[[#Headers],[Company]],31)</f>
        <v>7.5999999999999998E-2</v>
      </c>
      <c r="U126" s="192" t="str" cm="1">
        <f t="array" ref="U126">Common_InputFunctions.Utility_DisplayArrayInTable(Fertiliser_SourceData.Fertiliser_Products_Data2(), FertiliserProducts[[#Headers],[Company]],31)</f>
        <v>Sulfur - Generic</v>
      </c>
      <c r="V126" s="192" cm="1">
        <f t="array" ref="V126">Common_InputFunctions.Utility_DisplayArrayInTable(Fertiliser_SourceData.Fertiliser_Products_Data2(), FertiliserProducts[[#Headers],[Company]],31)</f>
        <v>0.02</v>
      </c>
      <c r="W126" s="192" t="str" cm="1">
        <f t="array" ref="W126">Common_InputFunctions.Utility_DisplayArrayInTable(Fertiliser_SourceData.Fertiliser_Products_Data2(), FertiliserProducts[[#Headers],[Company]],31)</f>
        <v/>
      </c>
      <c r="X126" s="192" t="str" cm="1">
        <f t="array" ref="X126">Common_InputFunctions.Utility_DisplayArrayInTable(Fertiliser_SourceData.Fertiliser_Products_Data2(), FertiliserProducts[[#Headers],[Company]],31)</f>
        <v/>
      </c>
      <c r="Y126" s="192" t="str" cm="1">
        <f t="array" ref="Y126">Common_InputFunctions.Utility_DisplayArrayInTable(Fertiliser_SourceData.Fertiliser_Products_Data2(), FertiliserProducts[[#Headers],[Company]],31)</f>
        <v/>
      </c>
      <c r="Z126" s="192" t="str" cm="1">
        <f t="array" ref="Z126">Common_InputFunctions.Utility_DisplayArrayInTable(Fertiliser_SourceData.Fertiliser_Products_Data2(), FertiliserProducts[[#Headers],[Company]],31)</f>
        <v/>
      </c>
      <c r="AA126" s="192" t="str" cm="1">
        <f t="array" ref="AA126">Common_InputFunctions.Utility_DisplayArrayInTable(Fertiliser_SourceData.Fertiliser_Products_Data2(), FertiliserProducts[[#Headers],[Company]],31)</f>
        <v/>
      </c>
      <c r="AB126" s="192" t="str" cm="1">
        <f t="array" ref="AB126">Common_InputFunctions.Utility_DisplayArrayInTable(Fertiliser_SourceData.Fertiliser_Products_Data2(), FertiliserProducts[[#Headers],[Company]],31)</f>
        <v/>
      </c>
      <c r="AC126" s="192" t="str" cm="1">
        <f t="array" ref="AC126">Common_InputFunctions.Utility_DisplayArrayInTable(Fertiliser_SourceData.Fertiliser_Products_Data2(), FertiliserProducts[[#Headers],[Company]],31)</f>
        <v/>
      </c>
      <c r="AD126" s="192" t="str" cm="1">
        <f t="array" ref="AD126">Common_InputFunctions.Utility_DisplayArrayInTable(Fertiliser_SourceData.Fertiliser_Products_Data2(), FertiliserProducts[[#Headers],[Company]],31)</f>
        <v/>
      </c>
      <c r="AE126" s="192" t="str" cm="1">
        <f t="array" ref="AE126">Common_InputFunctions.Utility_DisplayArrayInTable(Fertiliser_SourceData.Fertiliser_Products_Data2(), FertiliserProducts[[#Headers],[Company]],31)</f>
        <v/>
      </c>
      <c r="AF126" s="192" t="str" cm="1">
        <f t="array" ref="AF126">Common_InputFunctions.Utility_DisplayArrayInTable(Fertiliser_SourceData.Fertiliser_Products_Data2(), FertiliserProducts[[#Headers],[Company]],31)</f>
        <v/>
      </c>
      <c r="AG126" s="192" t="str" cm="1">
        <f t="array" ref="AG126">Common_InputFunctions.Utility_DisplayArrayInTable(Fertiliser_SourceData.Fertiliser_Products_Data2(), FertiliserProducts[[#Headers],[Company]],31)</f>
        <v/>
      </c>
      <c r="AH126" s="192" t="str" cm="1">
        <f t="array" ref="AH126">Common_InputFunctions.Utility_DisplayArrayInTable(Fertiliser_SourceData.Fertiliser_Products_Data2(), FertiliserProducts[[#Headers],[Company]],31)</f>
        <v/>
      </c>
      <c r="AK126" s="1"/>
      <c r="AL126" s="1"/>
      <c r="AM126" s="1"/>
    </row>
    <row r="127" spans="4:39" ht="20.100000000000001" customHeight="1" x14ac:dyDescent="0.25">
      <c r="D127" s="192" t="str" cm="1">
        <f t="array" ref="D127">Common_InputFunctions.Utility_DisplayArrayInTable(Fertiliser_SourceData.Fertiliser_Products_Data2(), FertiliserProducts[[#Headers],[Company]],31)</f>
        <v>Impact Fertilisers</v>
      </c>
      <c r="E127" s="192" t="str" cm="1">
        <f t="array" ref="E127">Common_InputFunctions.Utility_DisplayArrayInTable(Fertiliser_SourceData.Fertiliser_Products_Data2(), FertiliserProducts[[#Headers],[Company]],31)</f>
        <v>Impact SSP</v>
      </c>
      <c r="F127" s="192" t="str" cm="1">
        <f t="array" ref="F127">Common_InputFunctions.Utility_DisplayArrayInTable(Fertiliser_SourceData.Fertiliser_Products_Data2(), FertiliserProducts[[#Headers],[Company]],31)</f>
        <v>kg</v>
      </c>
      <c r="G127" s="192" cm="1">
        <f t="array" ref="G127">Common_InputFunctions.Utility_DisplayArrayInTable(Fertiliser_SourceData.Fertiliser_Products_Data2(), FertiliserProducts[[#Headers],[Company]],31)</f>
        <v>1</v>
      </c>
      <c r="H127" s="192" t="str" cm="1">
        <f t="array" ref="H127">Common_InputFunctions.Utility_DisplayArrayInTable(Fertiliser_SourceData.Fertiliser_Products_Data2(), FertiliserProducts[[#Headers],[Company]],31)</f>
        <v/>
      </c>
      <c r="I127" s="192" t="str" cm="1">
        <f t="array" ref="I127">Common_InputFunctions.Utility_DisplayArrayInTable(Fertiliser_SourceData.Fertiliser_Products_Data2(), FertiliserProducts[[#Headers],[Company]],31)</f>
        <v/>
      </c>
      <c r="J127" s="192" t="str" cm="1">
        <f t="array" ref="J127">Common_InputFunctions.Utility_DisplayArrayInTable(Fertiliser_SourceData.Fertiliser_Products_Data2(), FertiliserProducts[[#Headers],[Company]],31)</f>
        <v/>
      </c>
      <c r="K127" s="192" t="str" cm="1">
        <f t="array" ref="K127">Common_InputFunctions.Utility_DisplayArrayInTable(Fertiliser_SourceData.Fertiliser_Products_Data2(), FertiliserProducts[[#Headers],[Company]],31)</f>
        <v/>
      </c>
      <c r="L127" s="192" cm="1">
        <f t="array" ref="L127">Common_InputFunctions.Utility_DisplayArrayInTable(Fertiliser_SourceData.Fertiliser_Products_Data2(), FertiliserProducts[[#Headers],[Company]],31)</f>
        <v>8.8000000000000007</v>
      </c>
      <c r="M127" s="192" t="str" cm="1">
        <f t="array" ref="M127">Common_InputFunctions.Utility_DisplayArrayInTable(Fertiliser_SourceData.Fertiliser_Products_Data2(), FertiliserProducts[[#Headers],[Company]],31)</f>
        <v/>
      </c>
      <c r="N127" s="192" cm="1">
        <f t="array" ref="N127">Common_InputFunctions.Utility_DisplayArrayInTable(Fertiliser_SourceData.Fertiliser_Products_Data2(), FertiliserProducts[[#Headers],[Company]],31)</f>
        <v>11</v>
      </c>
      <c r="O127" s="192" t="str" cm="1">
        <f t="array" ref="O127">Common_InputFunctions.Utility_DisplayArrayInTable(Fertiliser_SourceData.Fertiliser_Products_Data2(), FertiliserProducts[[#Headers],[Company]],31)</f>
        <v>Single superphosphate (SSP)</v>
      </c>
      <c r="P127" s="192" cm="1">
        <f t="array" ref="P127">Common_InputFunctions.Utility_DisplayArrayInTable(Fertiliser_SourceData.Fertiliser_Products_Data2(), FertiliserProducts[[#Headers],[Company]],31)</f>
        <v>1</v>
      </c>
      <c r="Q127" s="192" t="str" cm="1">
        <f t="array" ref="Q127">Common_InputFunctions.Utility_DisplayArrayInTable(Fertiliser_SourceData.Fertiliser_Products_Data2(), FertiliserProducts[[#Headers],[Company]],31)</f>
        <v/>
      </c>
      <c r="R127" s="192" t="str" cm="1">
        <f t="array" ref="R127">Common_InputFunctions.Utility_DisplayArrayInTable(Fertiliser_SourceData.Fertiliser_Products_Data2(), FertiliserProducts[[#Headers],[Company]],31)</f>
        <v/>
      </c>
      <c r="S127" s="192" t="str" cm="1">
        <f t="array" ref="S127">Common_InputFunctions.Utility_DisplayArrayInTable(Fertiliser_SourceData.Fertiliser_Products_Data2(), FertiliserProducts[[#Headers],[Company]],31)</f>
        <v/>
      </c>
      <c r="T127" s="192" t="str" cm="1">
        <f t="array" ref="T127">Common_InputFunctions.Utility_DisplayArrayInTable(Fertiliser_SourceData.Fertiliser_Products_Data2(), FertiliserProducts[[#Headers],[Company]],31)</f>
        <v/>
      </c>
      <c r="U127" s="192" t="str" cm="1">
        <f t="array" ref="U127">Common_InputFunctions.Utility_DisplayArrayInTable(Fertiliser_SourceData.Fertiliser_Products_Data2(), FertiliserProducts[[#Headers],[Company]],31)</f>
        <v/>
      </c>
      <c r="V127" s="192" t="str" cm="1">
        <f t="array" ref="V127">Common_InputFunctions.Utility_DisplayArrayInTable(Fertiliser_SourceData.Fertiliser_Products_Data2(), FertiliserProducts[[#Headers],[Company]],31)</f>
        <v/>
      </c>
      <c r="W127" s="192" t="str" cm="1">
        <f t="array" ref="W127">Common_InputFunctions.Utility_DisplayArrayInTable(Fertiliser_SourceData.Fertiliser_Products_Data2(), FertiliserProducts[[#Headers],[Company]],31)</f>
        <v/>
      </c>
      <c r="X127" s="192" t="str" cm="1">
        <f t="array" ref="X127">Common_InputFunctions.Utility_DisplayArrayInTable(Fertiliser_SourceData.Fertiliser_Products_Data2(), FertiliserProducts[[#Headers],[Company]],31)</f>
        <v/>
      </c>
      <c r="Y127" s="192" t="str" cm="1">
        <f t="array" ref="Y127">Common_InputFunctions.Utility_DisplayArrayInTable(Fertiliser_SourceData.Fertiliser_Products_Data2(), FertiliserProducts[[#Headers],[Company]],31)</f>
        <v/>
      </c>
      <c r="Z127" s="192" t="str" cm="1">
        <f t="array" ref="Z127">Common_InputFunctions.Utility_DisplayArrayInTable(Fertiliser_SourceData.Fertiliser_Products_Data2(), FertiliserProducts[[#Headers],[Company]],31)</f>
        <v/>
      </c>
      <c r="AA127" s="192" t="str" cm="1">
        <f t="array" ref="AA127">Common_InputFunctions.Utility_DisplayArrayInTable(Fertiliser_SourceData.Fertiliser_Products_Data2(), FertiliserProducts[[#Headers],[Company]],31)</f>
        <v/>
      </c>
      <c r="AB127" s="192" t="str" cm="1">
        <f t="array" ref="AB127">Common_InputFunctions.Utility_DisplayArrayInTable(Fertiliser_SourceData.Fertiliser_Products_Data2(), FertiliserProducts[[#Headers],[Company]],31)</f>
        <v/>
      </c>
      <c r="AC127" s="192" t="str" cm="1">
        <f t="array" ref="AC127">Common_InputFunctions.Utility_DisplayArrayInTable(Fertiliser_SourceData.Fertiliser_Products_Data2(), FertiliserProducts[[#Headers],[Company]],31)</f>
        <v/>
      </c>
      <c r="AD127" s="192" t="str" cm="1">
        <f t="array" ref="AD127">Common_InputFunctions.Utility_DisplayArrayInTable(Fertiliser_SourceData.Fertiliser_Products_Data2(), FertiliserProducts[[#Headers],[Company]],31)</f>
        <v/>
      </c>
      <c r="AE127" s="192" t="str" cm="1">
        <f t="array" ref="AE127">Common_InputFunctions.Utility_DisplayArrayInTable(Fertiliser_SourceData.Fertiliser_Products_Data2(), FertiliserProducts[[#Headers],[Company]],31)</f>
        <v/>
      </c>
      <c r="AF127" s="192" t="str" cm="1">
        <f t="array" ref="AF127">Common_InputFunctions.Utility_DisplayArrayInTable(Fertiliser_SourceData.Fertiliser_Products_Data2(), FertiliserProducts[[#Headers],[Company]],31)</f>
        <v/>
      </c>
      <c r="AG127" s="192" t="str" cm="1">
        <f t="array" ref="AG127">Common_InputFunctions.Utility_DisplayArrayInTable(Fertiliser_SourceData.Fertiliser_Products_Data2(), FertiliserProducts[[#Headers],[Company]],31)</f>
        <v/>
      </c>
      <c r="AH127" s="192" t="str" cm="1">
        <f t="array" ref="AH127">Common_InputFunctions.Utility_DisplayArrayInTable(Fertiliser_SourceData.Fertiliser_Products_Data2(), FertiliserProducts[[#Headers],[Company]],31)</f>
        <v/>
      </c>
      <c r="AK127" s="1"/>
      <c r="AL127" s="1"/>
      <c r="AM127" s="1"/>
    </row>
    <row r="128" spans="4:39" ht="20.100000000000001" customHeight="1" x14ac:dyDescent="0.25">
      <c r="D128" s="192" t="str" cm="1">
        <f t="array" ref="D128">Common_InputFunctions.Utility_DisplayArrayInTable(Fertiliser_SourceData.Fertiliser_Products_Data2(), FertiliserProducts[[#Headers],[Company]],31)</f>
        <v>Switch Ag</v>
      </c>
      <c r="E128" s="192" t="str" cm="1">
        <f t="array" ref="E128">Common_InputFunctions.Utility_DisplayArrayInTable(Fertiliser_SourceData.Fertiliser_Products_Data2(), FertiliserProducts[[#Headers],[Company]],31)</f>
        <v>In Crop</v>
      </c>
      <c r="F128" s="192" t="str" cm="1">
        <f t="array" ref="F128">Common_InputFunctions.Utility_DisplayArrayInTable(Fertiliser_SourceData.Fertiliser_Products_Data2(), FertiliserProducts[[#Headers],[Company]],31)</f>
        <v>L</v>
      </c>
      <c r="G128" s="192" cm="1">
        <f t="array" ref="G128">Common_InputFunctions.Utility_DisplayArrayInTable(Fertiliser_SourceData.Fertiliser_Products_Data2(), FertiliserProducts[[#Headers],[Company]],31)</f>
        <v>1.2</v>
      </c>
      <c r="H128" s="192" t="str" cm="1">
        <f t="array" ref="H128">Common_InputFunctions.Utility_DisplayArrayInTable(Fertiliser_SourceData.Fertiliser_Products_Data2(), FertiliserProducts[[#Headers],[Company]],31)</f>
        <v/>
      </c>
      <c r="I128" s="192" t="str" cm="1">
        <f t="array" ref="I128">Common_InputFunctions.Utility_DisplayArrayInTable(Fertiliser_SourceData.Fertiliser_Products_Data2(), FertiliserProducts[[#Headers],[Company]],31)</f>
        <v/>
      </c>
      <c r="J128" s="192" t="str" cm="1">
        <f t="array" ref="J128">Common_InputFunctions.Utility_DisplayArrayInTable(Fertiliser_SourceData.Fertiliser_Products_Data2(), FertiliserProducts[[#Headers],[Company]],31)</f>
        <v/>
      </c>
      <c r="K128" s="192" cm="1">
        <f t="array" ref="K128">Common_InputFunctions.Utility_DisplayArrayInTable(Fertiliser_SourceData.Fertiliser_Products_Data2(), FertiliserProducts[[#Headers],[Company]],31)</f>
        <v>10</v>
      </c>
      <c r="L128" s="192" cm="1">
        <f t="array" ref="L128">Common_InputFunctions.Utility_DisplayArrayInTable(Fertiliser_SourceData.Fertiliser_Products_Data2(), FertiliserProducts[[#Headers],[Company]],31)</f>
        <v>1</v>
      </c>
      <c r="M128" s="192" cm="1">
        <f t="array" ref="M128">Common_InputFunctions.Utility_DisplayArrayInTable(Fertiliser_SourceData.Fertiliser_Products_Data2(), FertiliserProducts[[#Headers],[Company]],31)</f>
        <v>11</v>
      </c>
      <c r="N128" s="192" t="str" cm="1">
        <f t="array" ref="N128">Common_InputFunctions.Utility_DisplayArrayInTable(Fertiliser_SourceData.Fertiliser_Products_Data2(), FertiliserProducts[[#Headers],[Company]],31)</f>
        <v/>
      </c>
      <c r="O128" s="192" t="str" cm="1">
        <f t="array" ref="O128">Common_InputFunctions.Utility_DisplayArrayInTable(Fertiliser_SourceData.Fertiliser_Products_Data2(), FertiliserProducts[[#Headers],[Company]],31)</f>
        <v>Potassium - Generic</v>
      </c>
      <c r="P128" s="192" cm="1">
        <f t="array" ref="P128">Common_InputFunctions.Utility_DisplayArrayInTable(Fertiliser_SourceData.Fertiliser_Products_Data2(), FertiliserProducts[[#Headers],[Company]],31)</f>
        <v>0.11</v>
      </c>
      <c r="Q128" s="192" t="str" cm="1">
        <f t="array" ref="Q128">Common_InputFunctions.Utility_DisplayArrayInTable(Fertiliser_SourceData.Fertiliser_Products_Data2(), FertiliserProducts[[#Headers],[Company]],31)</f>
        <v>Nitrogen - Generic</v>
      </c>
      <c r="R128" s="192" cm="1">
        <f t="array" ref="R128">Common_InputFunctions.Utility_DisplayArrayInTable(Fertiliser_SourceData.Fertiliser_Products_Data2(), FertiliserProducts[[#Headers],[Company]],31)</f>
        <v>0.1</v>
      </c>
      <c r="S128" s="192" t="str" cm="1">
        <f t="array" ref="S128">Common_InputFunctions.Utility_DisplayArrayInTable(Fertiliser_SourceData.Fertiliser_Products_Data2(), FertiliserProducts[[#Headers],[Company]],31)</f>
        <v>Phosphorus - Generic</v>
      </c>
      <c r="T128" s="192" cm="1">
        <f t="array" ref="T128">Common_InputFunctions.Utility_DisplayArrayInTable(Fertiliser_SourceData.Fertiliser_Products_Data2(), FertiliserProducts[[#Headers],[Company]],31)</f>
        <v>0.01</v>
      </c>
      <c r="U128" s="192" t="str" cm="1">
        <f t="array" ref="U128">Common_InputFunctions.Utility_DisplayArrayInTable(Fertiliser_SourceData.Fertiliser_Products_Data2(), FertiliserProducts[[#Headers],[Company]],31)</f>
        <v/>
      </c>
      <c r="V128" s="192" t="str" cm="1">
        <f t="array" ref="V128">Common_InputFunctions.Utility_DisplayArrayInTable(Fertiliser_SourceData.Fertiliser_Products_Data2(), FertiliserProducts[[#Headers],[Company]],31)</f>
        <v/>
      </c>
      <c r="W128" s="192" t="str" cm="1">
        <f t="array" ref="W128">Common_InputFunctions.Utility_DisplayArrayInTable(Fertiliser_SourceData.Fertiliser_Products_Data2(), FertiliserProducts[[#Headers],[Company]],31)</f>
        <v/>
      </c>
      <c r="X128" s="192" t="str" cm="1">
        <f t="array" ref="X128">Common_InputFunctions.Utility_DisplayArrayInTable(Fertiliser_SourceData.Fertiliser_Products_Data2(), FertiliserProducts[[#Headers],[Company]],31)</f>
        <v/>
      </c>
      <c r="Y128" s="192" t="str" cm="1">
        <f t="array" ref="Y128">Common_InputFunctions.Utility_DisplayArrayInTable(Fertiliser_SourceData.Fertiliser_Products_Data2(), FertiliserProducts[[#Headers],[Company]],31)</f>
        <v/>
      </c>
      <c r="Z128" s="192" t="str" cm="1">
        <f t="array" ref="Z128">Common_InputFunctions.Utility_DisplayArrayInTable(Fertiliser_SourceData.Fertiliser_Products_Data2(), FertiliserProducts[[#Headers],[Company]],31)</f>
        <v/>
      </c>
      <c r="AA128" s="192" t="str" cm="1">
        <f t="array" ref="AA128">Common_InputFunctions.Utility_DisplayArrayInTable(Fertiliser_SourceData.Fertiliser_Products_Data2(), FertiliserProducts[[#Headers],[Company]],31)</f>
        <v/>
      </c>
      <c r="AB128" s="192" t="str" cm="1">
        <f t="array" ref="AB128">Common_InputFunctions.Utility_DisplayArrayInTable(Fertiliser_SourceData.Fertiliser_Products_Data2(), FertiliserProducts[[#Headers],[Company]],31)</f>
        <v/>
      </c>
      <c r="AC128" s="192" t="str" cm="1">
        <f t="array" ref="AC128">Common_InputFunctions.Utility_DisplayArrayInTable(Fertiliser_SourceData.Fertiliser_Products_Data2(), FertiliserProducts[[#Headers],[Company]],31)</f>
        <v/>
      </c>
      <c r="AD128" s="192" t="str" cm="1">
        <f t="array" ref="AD128">Common_InputFunctions.Utility_DisplayArrayInTable(Fertiliser_SourceData.Fertiliser_Products_Data2(), FertiliserProducts[[#Headers],[Company]],31)</f>
        <v/>
      </c>
      <c r="AE128" s="192" t="str" cm="1">
        <f t="array" ref="AE128">Common_InputFunctions.Utility_DisplayArrayInTable(Fertiliser_SourceData.Fertiliser_Products_Data2(), FertiliserProducts[[#Headers],[Company]],31)</f>
        <v/>
      </c>
      <c r="AF128" s="192" t="str" cm="1">
        <f t="array" ref="AF128">Common_InputFunctions.Utility_DisplayArrayInTable(Fertiliser_SourceData.Fertiliser_Products_Data2(), FertiliserProducts[[#Headers],[Company]],31)</f>
        <v/>
      </c>
      <c r="AG128" s="192" t="str" cm="1">
        <f t="array" ref="AG128">Common_InputFunctions.Utility_DisplayArrayInTable(Fertiliser_SourceData.Fertiliser_Products_Data2(), FertiliserProducts[[#Headers],[Company]],31)</f>
        <v/>
      </c>
      <c r="AH128" s="192" t="str" cm="1">
        <f t="array" ref="AH128">Common_InputFunctions.Utility_DisplayArrayInTable(Fertiliser_SourceData.Fertiliser_Products_Data2(), FertiliserProducts[[#Headers],[Company]],31)</f>
        <v/>
      </c>
      <c r="AK128" s="1"/>
      <c r="AL128" s="1"/>
      <c r="AM128" s="1"/>
    </row>
    <row r="129" spans="4:39" ht="20.100000000000001" customHeight="1" x14ac:dyDescent="0.25">
      <c r="D129" s="192" t="str" cm="1">
        <f t="array" ref="D129">Common_InputFunctions.Utility_DisplayArrayInTable(Fertiliser_SourceData.Fertiliser_Products_Data2(), FertiliserProducts[[#Headers],[Company]],31)</f>
        <v>Switch Ag</v>
      </c>
      <c r="E129" s="192" t="str" cm="1">
        <f t="array" ref="E129">Common_InputFunctions.Utility_DisplayArrayInTable(Fertiliser_SourceData.Fertiliser_Products_Data2(), FertiliserProducts[[#Headers],[Company]],31)</f>
        <v>K20</v>
      </c>
      <c r="F129" s="192" t="str" cm="1">
        <f t="array" ref="F129">Common_InputFunctions.Utility_DisplayArrayInTable(Fertiliser_SourceData.Fertiliser_Products_Data2(), FertiliserProducts[[#Headers],[Company]],31)</f>
        <v>L</v>
      </c>
      <c r="G129" s="192" cm="1">
        <f t="array" ref="G129">Common_InputFunctions.Utility_DisplayArrayInTable(Fertiliser_SourceData.Fertiliser_Products_Data2(), FertiliserProducts[[#Headers],[Company]],31)</f>
        <v>1.3</v>
      </c>
      <c r="H129" s="192" t="str" cm="1">
        <f t="array" ref="H129">Common_InputFunctions.Utility_DisplayArrayInTable(Fertiliser_SourceData.Fertiliser_Products_Data2(), FertiliserProducts[[#Headers],[Company]],31)</f>
        <v/>
      </c>
      <c r="I129" s="192" t="str" cm="1">
        <f t="array" ref="I129">Common_InputFunctions.Utility_DisplayArrayInTable(Fertiliser_SourceData.Fertiliser_Products_Data2(), FertiliserProducts[[#Headers],[Company]],31)</f>
        <v/>
      </c>
      <c r="J129" s="192" t="str" cm="1">
        <f t="array" ref="J129">Common_InputFunctions.Utility_DisplayArrayInTable(Fertiliser_SourceData.Fertiliser_Products_Data2(), FertiliserProducts[[#Headers],[Company]],31)</f>
        <v/>
      </c>
      <c r="K129" s="192" cm="1">
        <f t="array" ref="K129">Common_InputFunctions.Utility_DisplayArrayInTable(Fertiliser_SourceData.Fertiliser_Products_Data2(), FertiliserProducts[[#Headers],[Company]],31)</f>
        <v>3</v>
      </c>
      <c r="L129" s="192" t="str" cm="1">
        <f t="array" ref="L129">Common_InputFunctions.Utility_DisplayArrayInTable(Fertiliser_SourceData.Fertiliser_Products_Data2(), FertiliserProducts[[#Headers],[Company]],31)</f>
        <v/>
      </c>
      <c r="M129" s="192" cm="1">
        <f t="array" ref="M129">Common_InputFunctions.Utility_DisplayArrayInTable(Fertiliser_SourceData.Fertiliser_Products_Data2(), FertiliserProducts[[#Headers],[Company]],31)</f>
        <v>22</v>
      </c>
      <c r="N129" s="192" t="str" cm="1">
        <f t="array" ref="N129">Common_InputFunctions.Utility_DisplayArrayInTable(Fertiliser_SourceData.Fertiliser_Products_Data2(), FertiliserProducts[[#Headers],[Company]],31)</f>
        <v/>
      </c>
      <c r="O129" s="192" t="str" cm="1">
        <f t="array" ref="O129">Common_InputFunctions.Utility_DisplayArrayInTable(Fertiliser_SourceData.Fertiliser_Products_Data2(), FertiliserProducts[[#Headers],[Company]],31)</f>
        <v>Potassium - Generic</v>
      </c>
      <c r="P129" s="192" cm="1">
        <f t="array" ref="P129">Common_InputFunctions.Utility_DisplayArrayInTable(Fertiliser_SourceData.Fertiliser_Products_Data2(), FertiliserProducts[[#Headers],[Company]],31)</f>
        <v>0.22</v>
      </c>
      <c r="Q129" s="192" t="str" cm="1">
        <f t="array" ref="Q129">Common_InputFunctions.Utility_DisplayArrayInTable(Fertiliser_SourceData.Fertiliser_Products_Data2(), FertiliserProducts[[#Headers],[Company]],31)</f>
        <v>Nitrogen - Generic</v>
      </c>
      <c r="R129" s="192" cm="1">
        <f t="array" ref="R129">Common_InputFunctions.Utility_DisplayArrayInTable(Fertiliser_SourceData.Fertiliser_Products_Data2(), FertiliserProducts[[#Headers],[Company]],31)</f>
        <v>0.03</v>
      </c>
      <c r="S129" s="192" t="str" cm="1">
        <f t="array" ref="S129">Common_InputFunctions.Utility_DisplayArrayInTable(Fertiliser_SourceData.Fertiliser_Products_Data2(), FertiliserProducts[[#Headers],[Company]],31)</f>
        <v/>
      </c>
      <c r="T129" s="192" t="str" cm="1">
        <f t="array" ref="T129">Common_InputFunctions.Utility_DisplayArrayInTable(Fertiliser_SourceData.Fertiliser_Products_Data2(), FertiliserProducts[[#Headers],[Company]],31)</f>
        <v/>
      </c>
      <c r="U129" s="192" t="str" cm="1">
        <f t="array" ref="U129">Common_InputFunctions.Utility_DisplayArrayInTable(Fertiliser_SourceData.Fertiliser_Products_Data2(), FertiliserProducts[[#Headers],[Company]],31)</f>
        <v/>
      </c>
      <c r="V129" s="192" t="str" cm="1">
        <f t="array" ref="V129">Common_InputFunctions.Utility_DisplayArrayInTable(Fertiliser_SourceData.Fertiliser_Products_Data2(), FertiliserProducts[[#Headers],[Company]],31)</f>
        <v/>
      </c>
      <c r="W129" s="192" t="str" cm="1">
        <f t="array" ref="W129">Common_InputFunctions.Utility_DisplayArrayInTable(Fertiliser_SourceData.Fertiliser_Products_Data2(), FertiliserProducts[[#Headers],[Company]],31)</f>
        <v/>
      </c>
      <c r="X129" s="192" t="str" cm="1">
        <f t="array" ref="X129">Common_InputFunctions.Utility_DisplayArrayInTable(Fertiliser_SourceData.Fertiliser_Products_Data2(), FertiliserProducts[[#Headers],[Company]],31)</f>
        <v/>
      </c>
      <c r="Y129" s="192" t="str" cm="1">
        <f t="array" ref="Y129">Common_InputFunctions.Utility_DisplayArrayInTable(Fertiliser_SourceData.Fertiliser_Products_Data2(), FertiliserProducts[[#Headers],[Company]],31)</f>
        <v/>
      </c>
      <c r="Z129" s="192" t="str" cm="1">
        <f t="array" ref="Z129">Common_InputFunctions.Utility_DisplayArrayInTable(Fertiliser_SourceData.Fertiliser_Products_Data2(), FertiliserProducts[[#Headers],[Company]],31)</f>
        <v/>
      </c>
      <c r="AA129" s="192" t="str" cm="1">
        <f t="array" ref="AA129">Common_InputFunctions.Utility_DisplayArrayInTable(Fertiliser_SourceData.Fertiliser_Products_Data2(), FertiliserProducts[[#Headers],[Company]],31)</f>
        <v/>
      </c>
      <c r="AB129" s="192" t="str" cm="1">
        <f t="array" ref="AB129">Common_InputFunctions.Utility_DisplayArrayInTable(Fertiliser_SourceData.Fertiliser_Products_Data2(), FertiliserProducts[[#Headers],[Company]],31)</f>
        <v/>
      </c>
      <c r="AC129" s="192" t="str" cm="1">
        <f t="array" ref="AC129">Common_InputFunctions.Utility_DisplayArrayInTable(Fertiliser_SourceData.Fertiliser_Products_Data2(), FertiliserProducts[[#Headers],[Company]],31)</f>
        <v/>
      </c>
      <c r="AD129" s="192" t="str" cm="1">
        <f t="array" ref="AD129">Common_InputFunctions.Utility_DisplayArrayInTable(Fertiliser_SourceData.Fertiliser_Products_Data2(), FertiliserProducts[[#Headers],[Company]],31)</f>
        <v/>
      </c>
      <c r="AE129" s="192" t="str" cm="1">
        <f t="array" ref="AE129">Common_InputFunctions.Utility_DisplayArrayInTable(Fertiliser_SourceData.Fertiliser_Products_Data2(), FertiliserProducts[[#Headers],[Company]],31)</f>
        <v/>
      </c>
      <c r="AF129" s="192" t="str" cm="1">
        <f t="array" ref="AF129">Common_InputFunctions.Utility_DisplayArrayInTable(Fertiliser_SourceData.Fertiliser_Products_Data2(), FertiliserProducts[[#Headers],[Company]],31)</f>
        <v/>
      </c>
      <c r="AG129" s="192" t="str" cm="1">
        <f t="array" ref="AG129">Common_InputFunctions.Utility_DisplayArrayInTable(Fertiliser_SourceData.Fertiliser_Products_Data2(), FertiliserProducts[[#Headers],[Company]],31)</f>
        <v/>
      </c>
      <c r="AH129" s="192" t="str" cm="1">
        <f t="array" ref="AH129">Common_InputFunctions.Utility_DisplayArrayInTable(Fertiliser_SourceData.Fertiliser_Products_Data2(), FertiliserProducts[[#Headers],[Company]],31)</f>
        <v/>
      </c>
      <c r="AK129" s="1"/>
      <c r="AL129" s="1"/>
      <c r="AM129" s="1"/>
    </row>
    <row r="130" spans="4:39" ht="20.100000000000001" customHeight="1" x14ac:dyDescent="0.25">
      <c r="D130" s="192" t="str" cm="1">
        <f t="array" ref="D130">Common_InputFunctions.Utility_DisplayArrayInTable(Fertiliser_SourceData.Fertiliser_Products_Data2(), FertiliserProducts[[#Headers],[Company]],31)</f>
        <v>Loveland Agriproducts</v>
      </c>
      <c r="E130" s="192" t="str" cm="1">
        <f t="array" ref="E130">Common_InputFunctions.Utility_DisplayArrayInTable(Fertiliser_SourceData.Fertiliser_Products_Data2(), FertiliserProducts[[#Headers],[Company]],31)</f>
        <v>Maximum N-Pact</v>
      </c>
      <c r="F130" s="192" t="str" cm="1">
        <f t="array" ref="F130">Common_InputFunctions.Utility_DisplayArrayInTable(Fertiliser_SourceData.Fertiliser_Products_Data2(), FertiliserProducts[[#Headers],[Company]],31)</f>
        <v>L</v>
      </c>
      <c r="G130" s="192" cm="1">
        <f t="array" ref="G130">Common_InputFunctions.Utility_DisplayArrayInTable(Fertiliser_SourceData.Fertiliser_Products_Data2(), FertiliserProducts[[#Headers],[Company]],31)</f>
        <v>1.1850000000000001</v>
      </c>
      <c r="H130" s="192" t="str" cm="1">
        <f t="array" ref="H130">Common_InputFunctions.Utility_DisplayArrayInTable(Fertiliser_SourceData.Fertiliser_Products_Data2(), FertiliserProducts[[#Headers],[Company]],31)</f>
        <v/>
      </c>
      <c r="I130" s="192" t="str" cm="1">
        <f t="array" ref="I130">Common_InputFunctions.Utility_DisplayArrayInTable(Fertiliser_SourceData.Fertiliser_Products_Data2(), FertiliserProducts[[#Headers],[Company]],31)</f>
        <v/>
      </c>
      <c r="J130" s="192" t="str" cm="1">
        <f t="array" ref="J130">Common_InputFunctions.Utility_DisplayArrayInTable(Fertiliser_SourceData.Fertiliser_Products_Data2(), FertiliserProducts[[#Headers],[Company]],31)</f>
        <v/>
      </c>
      <c r="K130" s="192" cm="1">
        <f t="array" ref="K130">Common_InputFunctions.Utility_DisplayArrayInTable(Fertiliser_SourceData.Fertiliser_Products_Data2(), FertiliserProducts[[#Headers],[Company]],31)</f>
        <v>23.8</v>
      </c>
      <c r="L130" s="192" t="str" cm="1">
        <f t="array" ref="L130">Common_InputFunctions.Utility_DisplayArrayInTable(Fertiliser_SourceData.Fertiliser_Products_Data2(), FertiliserProducts[[#Headers],[Company]],31)</f>
        <v/>
      </c>
      <c r="M130" s="192" t="str" cm="1">
        <f t="array" ref="M130">Common_InputFunctions.Utility_DisplayArrayInTable(Fertiliser_SourceData.Fertiliser_Products_Data2(), FertiliserProducts[[#Headers],[Company]],31)</f>
        <v/>
      </c>
      <c r="N130" s="192" t="str" cm="1">
        <f t="array" ref="N130">Common_InputFunctions.Utility_DisplayArrayInTable(Fertiliser_SourceData.Fertiliser_Products_Data2(), FertiliserProducts[[#Headers],[Company]],31)</f>
        <v/>
      </c>
      <c r="O130" s="192" t="str" cm="1">
        <f t="array" ref="O130">Common_InputFunctions.Utility_DisplayArrayInTable(Fertiliser_SourceData.Fertiliser_Products_Data2(), FertiliserProducts[[#Headers],[Company]],31)</f>
        <v>Urea</v>
      </c>
      <c r="P130" s="192" cm="1">
        <f t="array" ref="P130">Common_InputFunctions.Utility_DisplayArrayInTable(Fertiliser_SourceData.Fertiliser_Products_Data2(), FertiliserProducts[[#Headers],[Company]],31)</f>
        <v>0.51739100000000005</v>
      </c>
      <c r="Q130" s="192" t="str" cm="1">
        <f t="array" ref="Q130">Common_InputFunctions.Utility_DisplayArrayInTable(Fertiliser_SourceData.Fertiliser_Products_Data2(), FertiliserProducts[[#Headers],[Company]],31)</f>
        <v/>
      </c>
      <c r="R130" s="192" t="str" cm="1">
        <f t="array" ref="R130">Common_InputFunctions.Utility_DisplayArrayInTable(Fertiliser_SourceData.Fertiliser_Products_Data2(), FertiliserProducts[[#Headers],[Company]],31)</f>
        <v/>
      </c>
      <c r="S130" s="192" t="str" cm="1">
        <f t="array" ref="S130">Common_InputFunctions.Utility_DisplayArrayInTable(Fertiliser_SourceData.Fertiliser_Products_Data2(), FertiliserProducts[[#Headers],[Company]],31)</f>
        <v/>
      </c>
      <c r="T130" s="192" t="str" cm="1">
        <f t="array" ref="T130">Common_InputFunctions.Utility_DisplayArrayInTable(Fertiliser_SourceData.Fertiliser_Products_Data2(), FertiliserProducts[[#Headers],[Company]],31)</f>
        <v/>
      </c>
      <c r="U130" s="192" t="str" cm="1">
        <f t="array" ref="U130">Common_InputFunctions.Utility_DisplayArrayInTable(Fertiliser_SourceData.Fertiliser_Products_Data2(), FertiliserProducts[[#Headers],[Company]],31)</f>
        <v/>
      </c>
      <c r="V130" s="192" t="str" cm="1">
        <f t="array" ref="V130">Common_InputFunctions.Utility_DisplayArrayInTable(Fertiliser_SourceData.Fertiliser_Products_Data2(), FertiliserProducts[[#Headers],[Company]],31)</f>
        <v/>
      </c>
      <c r="W130" s="192" t="str" cm="1">
        <f t="array" ref="W130">Common_InputFunctions.Utility_DisplayArrayInTable(Fertiliser_SourceData.Fertiliser_Products_Data2(), FertiliserProducts[[#Headers],[Company]],31)</f>
        <v/>
      </c>
      <c r="X130" s="192" t="str" cm="1">
        <f t="array" ref="X130">Common_InputFunctions.Utility_DisplayArrayInTable(Fertiliser_SourceData.Fertiliser_Products_Data2(), FertiliserProducts[[#Headers],[Company]],31)</f>
        <v/>
      </c>
      <c r="Y130" s="192" t="str" cm="1">
        <f t="array" ref="Y130">Common_InputFunctions.Utility_DisplayArrayInTable(Fertiliser_SourceData.Fertiliser_Products_Data2(), FertiliserProducts[[#Headers],[Company]],31)</f>
        <v/>
      </c>
      <c r="Z130" s="192" t="str" cm="1">
        <f t="array" ref="Z130">Common_InputFunctions.Utility_DisplayArrayInTable(Fertiliser_SourceData.Fertiliser_Products_Data2(), FertiliserProducts[[#Headers],[Company]],31)</f>
        <v/>
      </c>
      <c r="AA130" s="192" t="str" cm="1">
        <f t="array" ref="AA130">Common_InputFunctions.Utility_DisplayArrayInTable(Fertiliser_SourceData.Fertiliser_Products_Data2(), FertiliserProducts[[#Headers],[Company]],31)</f>
        <v/>
      </c>
      <c r="AB130" s="192" t="str" cm="1">
        <f t="array" ref="AB130">Common_InputFunctions.Utility_DisplayArrayInTable(Fertiliser_SourceData.Fertiliser_Products_Data2(), FertiliserProducts[[#Headers],[Company]],31)</f>
        <v/>
      </c>
      <c r="AC130" s="192" t="str" cm="1">
        <f t="array" ref="AC130">Common_InputFunctions.Utility_DisplayArrayInTable(Fertiliser_SourceData.Fertiliser_Products_Data2(), FertiliserProducts[[#Headers],[Company]],31)</f>
        <v/>
      </c>
      <c r="AD130" s="192" t="str" cm="1">
        <f t="array" ref="AD130">Common_InputFunctions.Utility_DisplayArrayInTable(Fertiliser_SourceData.Fertiliser_Products_Data2(), FertiliserProducts[[#Headers],[Company]],31)</f>
        <v/>
      </c>
      <c r="AE130" s="192" t="str" cm="1">
        <f t="array" ref="AE130">Common_InputFunctions.Utility_DisplayArrayInTable(Fertiliser_SourceData.Fertiliser_Products_Data2(), FertiliserProducts[[#Headers],[Company]],31)</f>
        <v/>
      </c>
      <c r="AF130" s="192" t="str" cm="1">
        <f t="array" ref="AF130">Common_InputFunctions.Utility_DisplayArrayInTable(Fertiliser_SourceData.Fertiliser_Products_Data2(), FertiliserProducts[[#Headers],[Company]],31)</f>
        <v/>
      </c>
      <c r="AG130" s="192" t="str" cm="1">
        <f t="array" ref="AG130">Common_InputFunctions.Utility_DisplayArrayInTable(Fertiliser_SourceData.Fertiliser_Products_Data2(), FertiliserProducts[[#Headers],[Company]],31)</f>
        <v/>
      </c>
      <c r="AH130" s="192" t="str" cm="1">
        <f t="array" ref="AH130">Common_InputFunctions.Utility_DisplayArrayInTable(Fertiliser_SourceData.Fertiliser_Products_Data2(), FertiliserProducts[[#Headers],[Company]],31)</f>
        <v/>
      </c>
      <c r="AK130" s="1"/>
      <c r="AL130" s="1"/>
      <c r="AM130" s="1"/>
    </row>
    <row r="131" spans="4:39" ht="20.100000000000001" customHeight="1" x14ac:dyDescent="0.25">
      <c r="D131" s="192" t="str" cm="1">
        <f t="array" ref="D131">Common_InputFunctions.Utility_DisplayArrayInTable(Fertiliser_SourceData.Fertiliser_Products_Data2(), FertiliserProducts[[#Headers],[Company]],31)</f>
        <v>SL Tec</v>
      </c>
      <c r="E131" s="192" t="str" cm="1">
        <f t="array" ref="E131">Common_InputFunctions.Utility_DisplayArrayInTable(Fertiliser_SourceData.Fertiliser_Products_Data2(), FertiliserProducts[[#Headers],[Company]],31)</f>
        <v>Nitro Combi TE</v>
      </c>
      <c r="F131" s="192" t="str" cm="1">
        <f t="array" ref="F131">Common_InputFunctions.Utility_DisplayArrayInTable(Fertiliser_SourceData.Fertiliser_Products_Data2(), FertiliserProducts[[#Headers],[Company]],31)</f>
        <v>L</v>
      </c>
      <c r="G131" s="192" cm="1">
        <f t="array" ref="G131">Common_InputFunctions.Utility_DisplayArrayInTable(Fertiliser_SourceData.Fertiliser_Products_Data2(), FertiliserProducts[[#Headers],[Company]],31)</f>
        <v>1.2549999999999999</v>
      </c>
      <c r="H131" s="192" t="str" cm="1">
        <f t="array" ref="H131">Common_InputFunctions.Utility_DisplayArrayInTable(Fertiliser_SourceData.Fertiliser_Products_Data2(), FertiliserProducts[[#Headers],[Company]],31)</f>
        <v/>
      </c>
      <c r="I131" s="192" t="str" cm="1">
        <f t="array" ref="I131">Common_InputFunctions.Utility_DisplayArrayInTable(Fertiliser_SourceData.Fertiliser_Products_Data2(), FertiliserProducts[[#Headers],[Company]],31)</f>
        <v/>
      </c>
      <c r="J131" s="192" t="str" cm="1">
        <f t="array" ref="J131">Common_InputFunctions.Utility_DisplayArrayInTable(Fertiliser_SourceData.Fertiliser_Products_Data2(), FertiliserProducts[[#Headers],[Company]],31)</f>
        <v/>
      </c>
      <c r="K131" s="192" t="str" cm="1">
        <f t="array" ref="K131">Common_InputFunctions.Utility_DisplayArrayInTable(Fertiliser_SourceData.Fertiliser_Products_Data2(), FertiliserProducts[[#Headers],[Company]],31)</f>
        <v/>
      </c>
      <c r="L131" s="192" t="str" cm="1">
        <f t="array" ref="L131">Common_InputFunctions.Utility_DisplayArrayInTable(Fertiliser_SourceData.Fertiliser_Products_Data2(), FertiliserProducts[[#Headers],[Company]],31)</f>
        <v/>
      </c>
      <c r="M131" s="192" cm="1">
        <f t="array" ref="M131">Common_InputFunctions.Utility_DisplayArrayInTable(Fertiliser_SourceData.Fertiliser_Products_Data2(), FertiliserProducts[[#Headers],[Company]],31)</f>
        <v>0.1</v>
      </c>
      <c r="N131" s="192" cm="1">
        <f t="array" ref="N131">Common_InputFunctions.Utility_DisplayArrayInTable(Fertiliser_SourceData.Fertiliser_Products_Data2(), FertiliserProducts[[#Headers],[Company]],31)</f>
        <v>4.4000000000000004</v>
      </c>
      <c r="O131" s="192" t="str" cm="1">
        <f t="array" ref="O131">Common_InputFunctions.Utility_DisplayArrayInTable(Fertiliser_SourceData.Fertiliser_Products_Data2(), FertiliserProducts[[#Headers],[Company]],31)</f>
        <v>Sulfur - Generic</v>
      </c>
      <c r="P131" s="192" cm="1">
        <f t="array" ref="P131">Common_InputFunctions.Utility_DisplayArrayInTable(Fertiliser_SourceData.Fertiliser_Products_Data2(), FertiliserProducts[[#Headers],[Company]],31)</f>
        <v>4.3999999999999997E-2</v>
      </c>
      <c r="Q131" s="192" t="str" cm="1">
        <f t="array" ref="Q131">Common_InputFunctions.Utility_DisplayArrayInTable(Fertiliser_SourceData.Fertiliser_Products_Data2(), FertiliserProducts[[#Headers],[Company]],31)</f>
        <v>Zinc</v>
      </c>
      <c r="R131" s="192" cm="1">
        <f t="array" ref="R131">Common_InputFunctions.Utility_DisplayArrayInTable(Fertiliser_SourceData.Fertiliser_Products_Data2(), FertiliserProducts[[#Headers],[Company]],31)</f>
        <v>2.1999999999999999E-2</v>
      </c>
      <c r="S131" s="192" t="str" cm="1">
        <f t="array" ref="S131">Common_InputFunctions.Utility_DisplayArrayInTable(Fertiliser_SourceData.Fertiliser_Products_Data2(), FertiliserProducts[[#Headers],[Company]],31)</f>
        <v>Iron</v>
      </c>
      <c r="T131" s="192" cm="1">
        <f t="array" ref="T131">Common_InputFunctions.Utility_DisplayArrayInTable(Fertiliser_SourceData.Fertiliser_Products_Data2(), FertiliserProducts[[#Headers],[Company]],31)</f>
        <v>2.1999999999999999E-2</v>
      </c>
      <c r="U131" s="192" t="str" cm="1">
        <f t="array" ref="U131">Common_InputFunctions.Utility_DisplayArrayInTable(Fertiliser_SourceData.Fertiliser_Products_Data2(), FertiliserProducts[[#Headers],[Company]],31)</f>
        <v>Manganese</v>
      </c>
      <c r="V131" s="192" cm="1">
        <f t="array" ref="V131">Common_InputFunctions.Utility_DisplayArrayInTable(Fertiliser_SourceData.Fertiliser_Products_Data2(), FertiliserProducts[[#Headers],[Company]],31)</f>
        <v>1.6E-2</v>
      </c>
      <c r="W131" s="192" t="str" cm="1">
        <f t="array" ref="W131">Common_InputFunctions.Utility_DisplayArrayInTable(Fertiliser_SourceData.Fertiliser_Products_Data2(), FertiliserProducts[[#Headers],[Company]],31)</f>
        <v>Boron</v>
      </c>
      <c r="X131" s="192" cm="1">
        <f t="array" ref="X131">Common_InputFunctions.Utility_DisplayArrayInTable(Fertiliser_SourceData.Fertiliser_Products_Data2(), FertiliserProducts[[#Headers],[Company]],31)</f>
        <v>8.0000000000000002E-3</v>
      </c>
      <c r="Y131" s="192" t="str" cm="1">
        <f t="array" ref="Y131">Common_InputFunctions.Utility_DisplayArrayInTable(Fertiliser_SourceData.Fertiliser_Products_Data2(), FertiliserProducts[[#Headers],[Company]],31)</f>
        <v>Magnesium</v>
      </c>
      <c r="Z131" s="192" cm="1">
        <f t="array" ref="Z131">Common_InputFunctions.Utility_DisplayArrayInTable(Fertiliser_SourceData.Fertiliser_Products_Data2(), FertiliserProducts[[#Headers],[Company]],31)</f>
        <v>7.0000000000000001E-3</v>
      </c>
      <c r="AA131" s="192" t="str" cm="1">
        <f t="array" ref="AA131">Common_InputFunctions.Utility_DisplayArrayInTable(Fertiliser_SourceData.Fertiliser_Products_Data2(), FertiliserProducts[[#Headers],[Company]],31)</f>
        <v>Fulvic acid (organic)</v>
      </c>
      <c r="AB131" s="192" cm="1">
        <f t="array" ref="AB131">Common_InputFunctions.Utility_DisplayArrayInTable(Fertiliser_SourceData.Fertiliser_Products_Data2(), FertiliserProducts[[#Headers],[Company]],31)</f>
        <v>5.0000000000000001E-3</v>
      </c>
      <c r="AC131" s="192" t="str" cm="1">
        <f t="array" ref="AC131">Common_InputFunctions.Utility_DisplayArrayInTable(Fertiliser_SourceData.Fertiliser_Products_Data2(), FertiliserProducts[[#Headers],[Company]],31)</f>
        <v>Copper</v>
      </c>
      <c r="AD131" s="192" cm="1">
        <f t="array" ref="AD131">Common_InputFunctions.Utility_DisplayArrayInTable(Fertiliser_SourceData.Fertiliser_Products_Data2(), FertiliserProducts[[#Headers],[Company]],31)</f>
        <v>3.0000000000000001E-3</v>
      </c>
      <c r="AE131" s="192" t="str" cm="1">
        <f t="array" ref="AE131">Common_InputFunctions.Utility_DisplayArrayInTable(Fertiliser_SourceData.Fertiliser_Products_Data2(), FertiliserProducts[[#Headers],[Company]],31)</f>
        <v>Potassium - Generic</v>
      </c>
      <c r="AF131" s="192" cm="1">
        <f t="array" ref="AF131">Common_InputFunctions.Utility_DisplayArrayInTable(Fertiliser_SourceData.Fertiliser_Products_Data2(), FertiliserProducts[[#Headers],[Company]],31)</f>
        <v>1E-3</v>
      </c>
      <c r="AG131" s="192" t="str" cm="1">
        <f t="array" ref="AG131">Common_InputFunctions.Utility_DisplayArrayInTable(Fertiliser_SourceData.Fertiliser_Products_Data2(), FertiliserProducts[[#Headers],[Company]],31)</f>
        <v>Molybdenum</v>
      </c>
      <c r="AH131" s="192"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5">
      <c r="D132" s="192" t="str" cm="1">
        <f t="array" ref="D132">Common_InputFunctions.Utility_DisplayArrayInTable(Fertiliser_SourceData.Fertiliser_Products_Data2(), FertiliserProducts[[#Headers],[Company]],31)</f>
        <v>Switch Ag</v>
      </c>
      <c r="E132" s="192" t="str" cm="1">
        <f t="array" ref="E132">Common_InputFunctions.Utility_DisplayArrayInTable(Fertiliser_SourceData.Fertiliser_Products_Data2(), FertiliserProducts[[#Headers],[Company]],31)</f>
        <v>PastureMAXX</v>
      </c>
      <c r="F132" s="192" t="str" cm="1">
        <f t="array" ref="F132">Common_InputFunctions.Utility_DisplayArrayInTable(Fertiliser_SourceData.Fertiliser_Products_Data2(), FertiliserProducts[[#Headers],[Company]],31)</f>
        <v>L</v>
      </c>
      <c r="G132" s="192" cm="1">
        <f t="array" ref="G132">Common_InputFunctions.Utility_DisplayArrayInTable(Fertiliser_SourceData.Fertiliser_Products_Data2(), FertiliserProducts[[#Headers],[Company]],31)</f>
        <v>1.23</v>
      </c>
      <c r="H132" s="192" t="str" cm="1">
        <f t="array" ref="H132">Common_InputFunctions.Utility_DisplayArrayInTable(Fertiliser_SourceData.Fertiliser_Products_Data2(), FertiliserProducts[[#Headers],[Company]],31)</f>
        <v/>
      </c>
      <c r="I132" s="192" t="str" cm="1">
        <f t="array" ref="I132">Common_InputFunctions.Utility_DisplayArrayInTable(Fertiliser_SourceData.Fertiliser_Products_Data2(), FertiliserProducts[[#Headers],[Company]],31)</f>
        <v/>
      </c>
      <c r="J132" s="192" t="str" cm="1">
        <f t="array" ref="J132">Common_InputFunctions.Utility_DisplayArrayInTable(Fertiliser_SourceData.Fertiliser_Products_Data2(), FertiliserProducts[[#Headers],[Company]],31)</f>
        <v/>
      </c>
      <c r="K132" s="192" cm="1">
        <f t="array" ref="K132">Common_InputFunctions.Utility_DisplayArrayInTable(Fertiliser_SourceData.Fertiliser_Products_Data2(), FertiliserProducts[[#Headers],[Company]],31)</f>
        <v>9.7100000000000009</v>
      </c>
      <c r="L132" s="192" t="str" cm="1">
        <f t="array" ref="L132">Common_InputFunctions.Utility_DisplayArrayInTable(Fertiliser_SourceData.Fertiliser_Products_Data2(), FertiliserProducts[[#Headers],[Company]],31)</f>
        <v/>
      </c>
      <c r="M132" s="192" cm="1">
        <f t="array" ref="M132">Common_InputFunctions.Utility_DisplayArrayInTable(Fertiliser_SourceData.Fertiliser_Products_Data2(), FertiliserProducts[[#Headers],[Company]],31)</f>
        <v>3.25</v>
      </c>
      <c r="N132" s="192" cm="1">
        <f t="array" ref="N132">Common_InputFunctions.Utility_DisplayArrayInTable(Fertiliser_SourceData.Fertiliser_Products_Data2(), FertiliserProducts[[#Headers],[Company]],31)</f>
        <v>2.11</v>
      </c>
      <c r="O132" s="192" t="str" cm="1">
        <f t="array" ref="O132">Common_InputFunctions.Utility_DisplayArrayInTable(Fertiliser_SourceData.Fertiliser_Products_Data2(), FertiliserProducts[[#Headers],[Company]],31)</f>
        <v>Nitrogen - Generic</v>
      </c>
      <c r="P132" s="192" cm="1">
        <f t="array" ref="P132">Common_InputFunctions.Utility_DisplayArrayInTable(Fertiliser_SourceData.Fertiliser_Products_Data2(), FertiliserProducts[[#Headers],[Company]],31)</f>
        <v>9.7100000000000006E-2</v>
      </c>
      <c r="Q132" s="192" t="str" cm="1">
        <f t="array" ref="Q132">Common_InputFunctions.Utility_DisplayArrayInTable(Fertiliser_SourceData.Fertiliser_Products_Data2(), FertiliserProducts[[#Headers],[Company]],31)</f>
        <v>Potassium - Generic</v>
      </c>
      <c r="R132" s="192" cm="1">
        <f t="array" ref="R132">Common_InputFunctions.Utility_DisplayArrayInTable(Fertiliser_SourceData.Fertiliser_Products_Data2(), FertiliserProducts[[#Headers],[Company]],31)</f>
        <v>3.2500000000000001E-2</v>
      </c>
      <c r="S132" s="192" t="str" cm="1">
        <f t="array" ref="S132">Common_InputFunctions.Utility_DisplayArrayInTable(Fertiliser_SourceData.Fertiliser_Products_Data2(), FertiliserProducts[[#Headers],[Company]],31)</f>
        <v>Sulfur - Generic</v>
      </c>
      <c r="T132" s="192" cm="1">
        <f t="array" ref="T132">Common_InputFunctions.Utility_DisplayArrayInTable(Fertiliser_SourceData.Fertiliser_Products_Data2(), FertiliserProducts[[#Headers],[Company]],31)</f>
        <v>2.1100000000000001E-2</v>
      </c>
      <c r="U132" s="192" t="str" cm="1">
        <f t="array" ref="U132">Common_InputFunctions.Utility_DisplayArrayInTable(Fertiliser_SourceData.Fertiliser_Products_Data2(), FertiliserProducts[[#Headers],[Company]],31)</f>
        <v>Zinc</v>
      </c>
      <c r="V132" s="192" cm="1">
        <f t="array" ref="V132">Common_InputFunctions.Utility_DisplayArrayInTable(Fertiliser_SourceData.Fertiliser_Products_Data2(), FertiliserProducts[[#Headers],[Company]],31)</f>
        <v>1.4999999999999999E-2</v>
      </c>
      <c r="W132" s="192" t="str" cm="1">
        <f t="array" ref="W132">Common_InputFunctions.Utility_DisplayArrayInTable(Fertiliser_SourceData.Fertiliser_Products_Data2(), FertiliserProducts[[#Headers],[Company]],31)</f>
        <v>Iron</v>
      </c>
      <c r="X132" s="192" cm="1">
        <f t="array" ref="X132">Common_InputFunctions.Utility_DisplayArrayInTable(Fertiliser_SourceData.Fertiliser_Products_Data2(), FertiliserProducts[[#Headers],[Company]],31)</f>
        <v>1.11E-2</v>
      </c>
      <c r="Y132" s="192" t="str" cm="1">
        <f t="array" ref="Y132">Common_InputFunctions.Utility_DisplayArrayInTable(Fertiliser_SourceData.Fertiliser_Products_Data2(), FertiliserProducts[[#Headers],[Company]],31)</f>
        <v>Manganese</v>
      </c>
      <c r="Z132" s="192" cm="1">
        <f t="array" ref="Z132">Common_InputFunctions.Utility_DisplayArrayInTable(Fertiliser_SourceData.Fertiliser_Products_Data2(), FertiliserProducts[[#Headers],[Company]],31)</f>
        <v>1.15E-2</v>
      </c>
      <c r="AA132" s="192" t="str" cm="1">
        <f t="array" ref="AA132">Common_InputFunctions.Utility_DisplayArrayInTable(Fertiliser_SourceData.Fertiliser_Products_Data2(), FertiliserProducts[[#Headers],[Company]],31)</f>
        <v>Magnesium</v>
      </c>
      <c r="AB132" s="192" cm="1">
        <f t="array" ref="AB132">Common_InputFunctions.Utility_DisplayArrayInTable(Fertiliser_SourceData.Fertiliser_Products_Data2(), FertiliserProducts[[#Headers],[Company]],31)</f>
        <v>4.4999999999999997E-3</v>
      </c>
      <c r="AC132" s="192" t="str" cm="1">
        <f t="array" ref="AC132">Common_InputFunctions.Utility_DisplayArrayInTable(Fertiliser_SourceData.Fertiliser_Products_Data2(), FertiliserProducts[[#Headers],[Company]],31)</f>
        <v>Boron</v>
      </c>
      <c r="AD132" s="192" cm="1">
        <f t="array" ref="AD132">Common_InputFunctions.Utility_DisplayArrayInTable(Fertiliser_SourceData.Fertiliser_Products_Data2(), FertiliserProducts[[#Headers],[Company]],31)</f>
        <v>2E-3</v>
      </c>
      <c r="AE132" s="192" t="str" cm="1">
        <f t="array" ref="AE132">Common_InputFunctions.Utility_DisplayArrayInTable(Fertiliser_SourceData.Fertiliser_Products_Data2(), FertiliserProducts[[#Headers],[Company]],31)</f>
        <v/>
      </c>
      <c r="AF132" s="192" t="str" cm="1">
        <f t="array" ref="AF132">Common_InputFunctions.Utility_DisplayArrayInTable(Fertiliser_SourceData.Fertiliser_Products_Data2(), FertiliserProducts[[#Headers],[Company]],31)</f>
        <v/>
      </c>
      <c r="AG132" s="192" t="str" cm="1">
        <f t="array" ref="AG132">Common_InputFunctions.Utility_DisplayArrayInTable(Fertiliser_SourceData.Fertiliser_Products_Data2(), FertiliserProducts[[#Headers],[Company]],31)</f>
        <v/>
      </c>
      <c r="AH132" s="192" t="str" cm="1">
        <f t="array" ref="AH132">Common_InputFunctions.Utility_DisplayArrayInTable(Fertiliser_SourceData.Fertiliser_Products_Data2(), FertiliserProducts[[#Headers],[Company]],31)</f>
        <v/>
      </c>
      <c r="AK132" s="1"/>
      <c r="AL132" s="1"/>
      <c r="AM132" s="1"/>
    </row>
    <row r="133" spans="4:39" ht="20.100000000000001" customHeight="1" x14ac:dyDescent="0.25">
      <c r="D133" s="192" t="str" cm="1">
        <f t="array" ref="D133">Common_InputFunctions.Utility_DisplayArrayInTable(Fertiliser_SourceData.Fertiliser_Products_Data2(), FertiliserProducts[[#Headers],[Company]],31)</f>
        <v>Campbells fertilisers Australia</v>
      </c>
      <c r="E133" s="192" t="str" cm="1">
        <f t="array" ref="E133">Common_InputFunctions.Utility_DisplayArrayInTable(Fertiliser_SourceData.Fertiliser_Products_Data2(), FertiliserProducts[[#Headers],[Company]],31)</f>
        <v>Platinum Nergetic</v>
      </c>
      <c r="F133" s="192" t="str" cm="1">
        <f t="array" ref="F133">Common_InputFunctions.Utility_DisplayArrayInTable(Fertiliser_SourceData.Fertiliser_Products_Data2(), FertiliserProducts[[#Headers],[Company]],31)</f>
        <v>kg</v>
      </c>
      <c r="G133" s="192" cm="1">
        <f t="array" ref="G133">Common_InputFunctions.Utility_DisplayArrayInTable(Fertiliser_SourceData.Fertiliser_Products_Data2(), FertiliserProducts[[#Headers],[Company]],31)</f>
        <v>1</v>
      </c>
      <c r="H133" s="192" t="str" cm="1">
        <f t="array" ref="H133">Common_InputFunctions.Utility_DisplayArrayInTable(Fertiliser_SourceData.Fertiliser_Products_Data2(), FertiliserProducts[[#Headers],[Company]],31)</f>
        <v/>
      </c>
      <c r="I133" s="192" t="str" cm="1">
        <f t="array" ref="I133">Common_InputFunctions.Utility_DisplayArrayInTable(Fertiliser_SourceData.Fertiliser_Products_Data2(), FertiliserProducts[[#Headers],[Company]],31)</f>
        <v/>
      </c>
      <c r="J133" s="192" t="str" cm="1">
        <f t="array" ref="J133">Common_InputFunctions.Utility_DisplayArrayInTable(Fertiliser_SourceData.Fertiliser_Products_Data2(), FertiliserProducts[[#Headers],[Company]],31)</f>
        <v/>
      </c>
      <c r="K133" s="192" cm="1">
        <f t="array" ref="K133">Common_InputFunctions.Utility_DisplayArrayInTable(Fertiliser_SourceData.Fertiliser_Products_Data2(), FertiliserProducts[[#Headers],[Company]],31)</f>
        <v>10</v>
      </c>
      <c r="L133" s="192" cm="1">
        <f t="array" ref="L133">Common_InputFunctions.Utility_DisplayArrayInTable(Fertiliser_SourceData.Fertiliser_Products_Data2(), FertiliserProducts[[#Headers],[Company]],31)</f>
        <v>10.9</v>
      </c>
      <c r="M133" s="192" cm="1">
        <f t="array" ref="M133">Common_InputFunctions.Utility_DisplayArrayInTable(Fertiliser_SourceData.Fertiliser_Products_Data2(), FertiliserProducts[[#Headers],[Company]],31)</f>
        <v>10</v>
      </c>
      <c r="N133" s="192" cm="1">
        <f t="array" ref="N133">Common_InputFunctions.Utility_DisplayArrayInTable(Fertiliser_SourceData.Fertiliser_Products_Data2(), FertiliserProducts[[#Headers],[Company]],31)</f>
        <v>4.34</v>
      </c>
      <c r="O133" s="192" t="str" cm="1">
        <f t="array" ref="O133">Common_InputFunctions.Utility_DisplayArrayInTable(Fertiliser_SourceData.Fertiliser_Products_Data2(), FertiliserProducts[[#Headers],[Company]],31)</f>
        <v>Monoammonium phosphate (MAP)</v>
      </c>
      <c r="P133" s="192" cm="1">
        <f t="array" ref="P133">Common_InputFunctions.Utility_DisplayArrayInTable(Fertiliser_SourceData.Fertiliser_Products_Data2(), FertiliserProducts[[#Headers],[Company]],31)</f>
        <v>0.4178</v>
      </c>
      <c r="Q133" s="192" t="str" cm="1">
        <f t="array" ref="Q133">Common_InputFunctions.Utility_DisplayArrayInTable(Fertiliser_SourceData.Fertiliser_Products_Data2(), FertiliserProducts[[#Headers],[Company]],31)</f>
        <v>Ammonium nitrate (AN)</v>
      </c>
      <c r="R133" s="192" cm="1">
        <f t="array" ref="R133">Common_InputFunctions.Utility_DisplayArrayInTable(Fertiliser_SourceData.Fertiliser_Products_Data2(), FertiliserProducts[[#Headers],[Company]],31)</f>
        <v>0.17280000000000001</v>
      </c>
      <c r="S133" s="192" t="str" cm="1">
        <f t="array" ref="S133">Common_InputFunctions.Utility_DisplayArrayInTable(Fertiliser_SourceData.Fertiliser_Products_Data2(), FertiliserProducts[[#Headers],[Company]],31)</f>
        <v>Potassium sulphate</v>
      </c>
      <c r="T133" s="192" cm="1">
        <f t="array" ref="T133">Common_InputFunctions.Utility_DisplayArrayInTable(Fertiliser_SourceData.Fertiliser_Products_Data2(), FertiliserProducts[[#Headers],[Company]],31)</f>
        <v>0.24096400000000001</v>
      </c>
      <c r="U133" s="192" t="str" cm="1">
        <f t="array" ref="U133">Common_InputFunctions.Utility_DisplayArrayInTable(Fertiliser_SourceData.Fertiliser_Products_Data2(), FertiliserProducts[[#Headers],[Company]],31)</f>
        <v>Double superphosphate</v>
      </c>
      <c r="V133" s="192" cm="1">
        <f t="array" ref="V133">Common_InputFunctions.Utility_DisplayArrayInTable(Fertiliser_SourceData.Fertiliser_Products_Data2(), FertiliserProducts[[#Headers],[Company]],31)</f>
        <v>0.1</v>
      </c>
      <c r="W133" s="192" t="str" cm="1">
        <f t="array" ref="W133">Common_InputFunctions.Utility_DisplayArrayInTable(Fertiliser_SourceData.Fertiliser_Products_Data2(), FertiliserProducts[[#Headers],[Company]],31)</f>
        <v>Magnesium</v>
      </c>
      <c r="X133" s="192" cm="1">
        <f t="array" ref="X133">Common_InputFunctions.Utility_DisplayArrayInTable(Fertiliser_SourceData.Fertiliser_Products_Data2(), FertiliserProducts[[#Headers],[Company]],31)</f>
        <v>1.2E-2</v>
      </c>
      <c r="Y133" s="192" t="str" cm="1">
        <f t="array" ref="Y133">Common_InputFunctions.Utility_DisplayArrayInTable(Fertiliser_SourceData.Fertiliser_Products_Data2(), FertiliserProducts[[#Headers],[Company]],31)</f>
        <v>Zinc</v>
      </c>
      <c r="Z133" s="192" cm="1">
        <f t="array" ref="Z133">Common_InputFunctions.Utility_DisplayArrayInTable(Fertiliser_SourceData.Fertiliser_Products_Data2(), FertiliserProducts[[#Headers],[Company]],31)</f>
        <v>3.5999999999999999E-3</v>
      </c>
      <c r="AA133" s="192" t="str" cm="1">
        <f t="array" ref="AA133">Common_InputFunctions.Utility_DisplayArrayInTable(Fertiliser_SourceData.Fertiliser_Products_Data2(), FertiliserProducts[[#Headers],[Company]],31)</f>
        <v>Boron</v>
      </c>
      <c r="AB133" s="192" cm="1">
        <f t="array" ref="AB133">Common_InputFunctions.Utility_DisplayArrayInTable(Fertiliser_SourceData.Fertiliser_Products_Data2(), FertiliserProducts[[#Headers],[Company]],31)</f>
        <v>1E-3</v>
      </c>
      <c r="AC133" s="192" t="str" cm="1">
        <f t="array" ref="AC133">Common_InputFunctions.Utility_DisplayArrayInTable(Fertiliser_SourceData.Fertiliser_Products_Data2(), FertiliserProducts[[#Headers],[Company]],31)</f>
        <v>Glaze Extend G3 Flexi</v>
      </c>
      <c r="AD133" s="192" cm="1">
        <f t="array" ref="AD133">Common_InputFunctions.Utility_DisplayArrayInTable(Fertiliser_SourceData.Fertiliser_Products_Data2(), FertiliserProducts[[#Headers],[Company]],31)</f>
        <v>5.1900000000000002E-2</v>
      </c>
      <c r="AE133" s="192" t="str" cm="1">
        <f t="array" ref="AE133">Common_InputFunctions.Utility_DisplayArrayInTable(Fertiliser_SourceData.Fertiliser_Products_Data2(), FertiliserProducts[[#Headers],[Company]],31)</f>
        <v/>
      </c>
      <c r="AF133" s="192" t="str" cm="1">
        <f t="array" ref="AF133">Common_InputFunctions.Utility_DisplayArrayInTable(Fertiliser_SourceData.Fertiliser_Products_Data2(), FertiliserProducts[[#Headers],[Company]],31)</f>
        <v/>
      </c>
      <c r="AG133" s="192" t="str" cm="1">
        <f t="array" ref="AG133">Common_InputFunctions.Utility_DisplayArrayInTable(Fertiliser_SourceData.Fertiliser_Products_Data2(), FertiliserProducts[[#Headers],[Company]],31)</f>
        <v/>
      </c>
      <c r="AH133" s="192" t="str" cm="1">
        <f t="array" ref="AH133">Common_InputFunctions.Utility_DisplayArrayInTable(Fertiliser_SourceData.Fertiliser_Products_Data2(), FertiliserProducts[[#Headers],[Company]],31)</f>
        <v/>
      </c>
      <c r="AK133" s="1"/>
      <c r="AL133" s="1"/>
      <c r="AM133" s="1"/>
    </row>
    <row r="134" spans="4:39" ht="20.100000000000001" customHeight="1" x14ac:dyDescent="0.25">
      <c r="D134" s="192" t="str" cm="1">
        <f t="array" ref="D134">Common_InputFunctions.Utility_DisplayArrayInTable(Fertiliser_SourceData.Fertiliser_Products_Data2(), FertiliserProducts[[#Headers],[Company]],31)</f>
        <v>Impact Fertilisers</v>
      </c>
      <c r="E134" s="192" t="str" cm="1">
        <f t="array" ref="E134">Common_InputFunctions.Utility_DisplayArrayInTable(Fertiliser_SourceData.Fertiliser_Products_Data2(), FertiliserProducts[[#Headers],[Company]],31)</f>
        <v>Sulphate of ammonia (SOA)</v>
      </c>
      <c r="F134" s="192" t="str" cm="1">
        <f t="array" ref="F134">Common_InputFunctions.Utility_DisplayArrayInTable(Fertiliser_SourceData.Fertiliser_Products_Data2(), FertiliserProducts[[#Headers],[Company]],31)</f>
        <v>kg</v>
      </c>
      <c r="G134" s="192" cm="1">
        <f t="array" ref="G134">Common_InputFunctions.Utility_DisplayArrayInTable(Fertiliser_SourceData.Fertiliser_Products_Data2(), FertiliserProducts[[#Headers],[Company]],31)</f>
        <v>1</v>
      </c>
      <c r="H134" s="192" t="str" cm="1">
        <f t="array" ref="H134">Common_InputFunctions.Utility_DisplayArrayInTable(Fertiliser_SourceData.Fertiliser_Products_Data2(), FertiliserProducts[[#Headers],[Company]],31)</f>
        <v/>
      </c>
      <c r="I134" s="192" t="str" cm="1">
        <f t="array" ref="I134">Common_InputFunctions.Utility_DisplayArrayInTable(Fertiliser_SourceData.Fertiliser_Products_Data2(), FertiliserProducts[[#Headers],[Company]],31)</f>
        <v/>
      </c>
      <c r="J134" s="192" t="str" cm="1">
        <f t="array" ref="J134">Common_InputFunctions.Utility_DisplayArrayInTable(Fertiliser_SourceData.Fertiliser_Products_Data2(), FertiliserProducts[[#Headers],[Company]],31)</f>
        <v/>
      </c>
      <c r="K134" s="192" cm="1">
        <f t="array" ref="K134">Common_InputFunctions.Utility_DisplayArrayInTable(Fertiliser_SourceData.Fertiliser_Products_Data2(), FertiliserProducts[[#Headers],[Company]],31)</f>
        <v>21</v>
      </c>
      <c r="L134" s="192" t="str" cm="1">
        <f t="array" ref="L134">Common_InputFunctions.Utility_DisplayArrayInTable(Fertiliser_SourceData.Fertiliser_Products_Data2(), FertiliserProducts[[#Headers],[Company]],31)</f>
        <v/>
      </c>
      <c r="M134" s="192" t="str" cm="1">
        <f t="array" ref="M134">Common_InputFunctions.Utility_DisplayArrayInTable(Fertiliser_SourceData.Fertiliser_Products_Data2(), FertiliserProducts[[#Headers],[Company]],31)</f>
        <v/>
      </c>
      <c r="N134" s="192" cm="1">
        <f t="array" ref="N134">Common_InputFunctions.Utility_DisplayArrayInTable(Fertiliser_SourceData.Fertiliser_Products_Data2(), FertiliserProducts[[#Headers],[Company]],31)</f>
        <v>24</v>
      </c>
      <c r="O134" s="192" t="str" cm="1">
        <f t="array" ref="O134">Common_InputFunctions.Utility_DisplayArrayInTable(Fertiliser_SourceData.Fertiliser_Products_Data2(), FertiliserProducts[[#Headers],[Company]],31)</f>
        <v>Sulphate of ammonia (SOA)</v>
      </c>
      <c r="P134" s="192" cm="1">
        <f t="array" ref="P134">Common_InputFunctions.Utility_DisplayArrayInTable(Fertiliser_SourceData.Fertiliser_Products_Data2(), FertiliserProducts[[#Headers],[Company]],31)</f>
        <v>1</v>
      </c>
      <c r="Q134" s="192" t="str" cm="1">
        <f t="array" ref="Q134">Common_InputFunctions.Utility_DisplayArrayInTable(Fertiliser_SourceData.Fertiliser_Products_Data2(), FertiliserProducts[[#Headers],[Company]],31)</f>
        <v/>
      </c>
      <c r="R134" s="192" t="str" cm="1">
        <f t="array" ref="R134">Common_InputFunctions.Utility_DisplayArrayInTable(Fertiliser_SourceData.Fertiliser_Products_Data2(), FertiliserProducts[[#Headers],[Company]],31)</f>
        <v/>
      </c>
      <c r="S134" s="192" t="str" cm="1">
        <f t="array" ref="S134">Common_InputFunctions.Utility_DisplayArrayInTable(Fertiliser_SourceData.Fertiliser_Products_Data2(), FertiliserProducts[[#Headers],[Company]],31)</f>
        <v/>
      </c>
      <c r="T134" s="192" t="str" cm="1">
        <f t="array" ref="T134">Common_InputFunctions.Utility_DisplayArrayInTable(Fertiliser_SourceData.Fertiliser_Products_Data2(), FertiliserProducts[[#Headers],[Company]],31)</f>
        <v/>
      </c>
      <c r="U134" s="192" t="str" cm="1">
        <f t="array" ref="U134">Common_InputFunctions.Utility_DisplayArrayInTable(Fertiliser_SourceData.Fertiliser_Products_Data2(), FertiliserProducts[[#Headers],[Company]],31)</f>
        <v/>
      </c>
      <c r="V134" s="192" t="str" cm="1">
        <f t="array" ref="V134">Common_InputFunctions.Utility_DisplayArrayInTable(Fertiliser_SourceData.Fertiliser_Products_Data2(), FertiliserProducts[[#Headers],[Company]],31)</f>
        <v/>
      </c>
      <c r="W134" s="192" t="str" cm="1">
        <f t="array" ref="W134">Common_InputFunctions.Utility_DisplayArrayInTable(Fertiliser_SourceData.Fertiliser_Products_Data2(), FertiliserProducts[[#Headers],[Company]],31)</f>
        <v/>
      </c>
      <c r="X134" s="192" t="str" cm="1">
        <f t="array" ref="X134">Common_InputFunctions.Utility_DisplayArrayInTable(Fertiliser_SourceData.Fertiliser_Products_Data2(), FertiliserProducts[[#Headers],[Company]],31)</f>
        <v/>
      </c>
      <c r="Y134" s="192" t="str" cm="1">
        <f t="array" ref="Y134">Common_InputFunctions.Utility_DisplayArrayInTable(Fertiliser_SourceData.Fertiliser_Products_Data2(), FertiliserProducts[[#Headers],[Company]],31)</f>
        <v/>
      </c>
      <c r="Z134" s="192" t="str" cm="1">
        <f t="array" ref="Z134">Common_InputFunctions.Utility_DisplayArrayInTable(Fertiliser_SourceData.Fertiliser_Products_Data2(), FertiliserProducts[[#Headers],[Company]],31)</f>
        <v/>
      </c>
      <c r="AA134" s="192" t="str" cm="1">
        <f t="array" ref="AA134">Common_InputFunctions.Utility_DisplayArrayInTable(Fertiliser_SourceData.Fertiliser_Products_Data2(), FertiliserProducts[[#Headers],[Company]],31)</f>
        <v/>
      </c>
      <c r="AB134" s="192" t="str" cm="1">
        <f t="array" ref="AB134">Common_InputFunctions.Utility_DisplayArrayInTable(Fertiliser_SourceData.Fertiliser_Products_Data2(), FertiliserProducts[[#Headers],[Company]],31)</f>
        <v/>
      </c>
      <c r="AC134" s="192" t="str" cm="1">
        <f t="array" ref="AC134">Common_InputFunctions.Utility_DisplayArrayInTable(Fertiliser_SourceData.Fertiliser_Products_Data2(), FertiliserProducts[[#Headers],[Company]],31)</f>
        <v/>
      </c>
      <c r="AD134" s="192" t="str" cm="1">
        <f t="array" ref="AD134">Common_InputFunctions.Utility_DisplayArrayInTable(Fertiliser_SourceData.Fertiliser_Products_Data2(), FertiliserProducts[[#Headers],[Company]],31)</f>
        <v/>
      </c>
      <c r="AE134" s="192" t="str" cm="1">
        <f t="array" ref="AE134">Common_InputFunctions.Utility_DisplayArrayInTable(Fertiliser_SourceData.Fertiliser_Products_Data2(), FertiliserProducts[[#Headers],[Company]],31)</f>
        <v/>
      </c>
      <c r="AF134" s="192" t="str" cm="1">
        <f t="array" ref="AF134">Common_InputFunctions.Utility_DisplayArrayInTable(Fertiliser_SourceData.Fertiliser_Products_Data2(), FertiliserProducts[[#Headers],[Company]],31)</f>
        <v/>
      </c>
      <c r="AG134" s="192" t="str" cm="1">
        <f t="array" ref="AG134">Common_InputFunctions.Utility_DisplayArrayInTable(Fertiliser_SourceData.Fertiliser_Products_Data2(), FertiliserProducts[[#Headers],[Company]],31)</f>
        <v/>
      </c>
      <c r="AH134" s="192" t="str" cm="1">
        <f t="array" ref="AH134">Common_InputFunctions.Utility_DisplayArrayInTable(Fertiliser_SourceData.Fertiliser_Products_Data2(), FertiliserProducts[[#Headers],[Company]],31)</f>
        <v/>
      </c>
      <c r="AK134" s="1"/>
      <c r="AL134" s="1"/>
      <c r="AM134" s="1"/>
    </row>
    <row r="135" spans="4:39" ht="20.100000000000001" customHeight="1" x14ac:dyDescent="0.25">
      <c r="D135" s="192" t="str" cm="1">
        <f t="array" ref="D135">Common_InputFunctions.Utility_DisplayArrayInTable(Fertiliser_SourceData.Fertiliser_Products_Data2(), FertiliserProducts[[#Headers],[Company]],31)</f>
        <v>Impact Fertilisers</v>
      </c>
      <c r="E135" s="192" t="str" cm="1">
        <f t="array" ref="E135">Common_InputFunctions.Utility_DisplayArrayInTable(Fertiliser_SourceData.Fertiliser_Products_Data2(), FertiliserProducts[[#Headers],[Company]],31)</f>
        <v>Mono-Ammonium Phosphate (MAP)</v>
      </c>
      <c r="F135" s="192" t="str" cm="1">
        <f t="array" ref="F135">Common_InputFunctions.Utility_DisplayArrayInTable(Fertiliser_SourceData.Fertiliser_Products_Data2(), FertiliserProducts[[#Headers],[Company]],31)</f>
        <v>kg</v>
      </c>
      <c r="G135" s="192" cm="1">
        <f t="array" ref="G135">Common_InputFunctions.Utility_DisplayArrayInTable(Fertiliser_SourceData.Fertiliser_Products_Data2(), FertiliserProducts[[#Headers],[Company]],31)</f>
        <v>1</v>
      </c>
      <c r="H135" s="192" t="str" cm="1">
        <f t="array" ref="H135">Common_InputFunctions.Utility_DisplayArrayInTable(Fertiliser_SourceData.Fertiliser_Products_Data2(), FertiliserProducts[[#Headers],[Company]],31)</f>
        <v/>
      </c>
      <c r="I135" s="192" t="str" cm="1">
        <f t="array" ref="I135">Common_InputFunctions.Utility_DisplayArrayInTable(Fertiliser_SourceData.Fertiliser_Products_Data2(), FertiliserProducts[[#Headers],[Company]],31)</f>
        <v/>
      </c>
      <c r="J135" s="192" t="str" cm="1">
        <f t="array" ref="J135">Common_InputFunctions.Utility_DisplayArrayInTable(Fertiliser_SourceData.Fertiliser_Products_Data2(), FertiliserProducts[[#Headers],[Company]],31)</f>
        <v/>
      </c>
      <c r="K135" s="192" cm="1">
        <f t="array" ref="K135">Common_InputFunctions.Utility_DisplayArrayInTable(Fertiliser_SourceData.Fertiliser_Products_Data2(), FertiliserProducts[[#Headers],[Company]],31)</f>
        <v>10</v>
      </c>
      <c r="L135" s="192" cm="1">
        <f t="array" ref="L135">Common_InputFunctions.Utility_DisplayArrayInTable(Fertiliser_SourceData.Fertiliser_Products_Data2(), FertiliserProducts[[#Headers],[Company]],31)</f>
        <v>21.9</v>
      </c>
      <c r="M135" s="192" t="str" cm="1">
        <f t="array" ref="M135">Common_InputFunctions.Utility_DisplayArrayInTable(Fertiliser_SourceData.Fertiliser_Products_Data2(), FertiliserProducts[[#Headers],[Company]],31)</f>
        <v/>
      </c>
      <c r="N135" s="192" cm="1">
        <f t="array" ref="N135">Common_InputFunctions.Utility_DisplayArrayInTable(Fertiliser_SourceData.Fertiliser_Products_Data2(), FertiliserProducts[[#Headers],[Company]],31)</f>
        <v>1.5</v>
      </c>
      <c r="O135" s="192" t="str" cm="1">
        <f t="array" ref="O135">Common_InputFunctions.Utility_DisplayArrayInTable(Fertiliser_SourceData.Fertiliser_Products_Data2(), FertiliserProducts[[#Headers],[Company]],31)</f>
        <v>Monoammonium phosphate (MAP)</v>
      </c>
      <c r="P135" s="192" cm="1">
        <f t="array" ref="P135">Common_InputFunctions.Utility_DisplayArrayInTable(Fertiliser_SourceData.Fertiliser_Products_Data2(), FertiliserProducts[[#Headers],[Company]],31)</f>
        <v>1</v>
      </c>
      <c r="Q135" s="192" t="str" cm="1">
        <f t="array" ref="Q135">Common_InputFunctions.Utility_DisplayArrayInTable(Fertiliser_SourceData.Fertiliser_Products_Data2(), FertiliserProducts[[#Headers],[Company]],31)</f>
        <v/>
      </c>
      <c r="R135" s="192" t="str" cm="1">
        <f t="array" ref="R135">Common_InputFunctions.Utility_DisplayArrayInTable(Fertiliser_SourceData.Fertiliser_Products_Data2(), FertiliserProducts[[#Headers],[Company]],31)</f>
        <v/>
      </c>
      <c r="S135" s="192" t="str" cm="1">
        <f t="array" ref="S135">Common_InputFunctions.Utility_DisplayArrayInTable(Fertiliser_SourceData.Fertiliser_Products_Data2(), FertiliserProducts[[#Headers],[Company]],31)</f>
        <v/>
      </c>
      <c r="T135" s="192" t="str" cm="1">
        <f t="array" ref="T135">Common_InputFunctions.Utility_DisplayArrayInTable(Fertiliser_SourceData.Fertiliser_Products_Data2(), FertiliserProducts[[#Headers],[Company]],31)</f>
        <v/>
      </c>
      <c r="U135" s="192" t="str" cm="1">
        <f t="array" ref="U135">Common_InputFunctions.Utility_DisplayArrayInTable(Fertiliser_SourceData.Fertiliser_Products_Data2(), FertiliserProducts[[#Headers],[Company]],31)</f>
        <v/>
      </c>
      <c r="V135" s="192" t="str" cm="1">
        <f t="array" ref="V135">Common_InputFunctions.Utility_DisplayArrayInTable(Fertiliser_SourceData.Fertiliser_Products_Data2(), FertiliserProducts[[#Headers],[Company]],31)</f>
        <v/>
      </c>
      <c r="W135" s="192" t="str" cm="1">
        <f t="array" ref="W135">Common_InputFunctions.Utility_DisplayArrayInTable(Fertiliser_SourceData.Fertiliser_Products_Data2(), FertiliserProducts[[#Headers],[Company]],31)</f>
        <v/>
      </c>
      <c r="X135" s="192" t="str" cm="1">
        <f t="array" ref="X135">Common_InputFunctions.Utility_DisplayArrayInTable(Fertiliser_SourceData.Fertiliser_Products_Data2(), FertiliserProducts[[#Headers],[Company]],31)</f>
        <v/>
      </c>
      <c r="Y135" s="192" t="str" cm="1">
        <f t="array" ref="Y135">Common_InputFunctions.Utility_DisplayArrayInTable(Fertiliser_SourceData.Fertiliser_Products_Data2(), FertiliserProducts[[#Headers],[Company]],31)</f>
        <v/>
      </c>
      <c r="Z135" s="192" t="str" cm="1">
        <f t="array" ref="Z135">Common_InputFunctions.Utility_DisplayArrayInTable(Fertiliser_SourceData.Fertiliser_Products_Data2(), FertiliserProducts[[#Headers],[Company]],31)</f>
        <v/>
      </c>
      <c r="AA135" s="192" t="str" cm="1">
        <f t="array" ref="AA135">Common_InputFunctions.Utility_DisplayArrayInTable(Fertiliser_SourceData.Fertiliser_Products_Data2(), FertiliserProducts[[#Headers],[Company]],31)</f>
        <v/>
      </c>
      <c r="AB135" s="192" t="str" cm="1">
        <f t="array" ref="AB135">Common_InputFunctions.Utility_DisplayArrayInTable(Fertiliser_SourceData.Fertiliser_Products_Data2(), FertiliserProducts[[#Headers],[Company]],31)</f>
        <v/>
      </c>
      <c r="AC135" s="192" t="str" cm="1">
        <f t="array" ref="AC135">Common_InputFunctions.Utility_DisplayArrayInTable(Fertiliser_SourceData.Fertiliser_Products_Data2(), FertiliserProducts[[#Headers],[Company]],31)</f>
        <v/>
      </c>
      <c r="AD135" s="192" t="str" cm="1">
        <f t="array" ref="AD135">Common_InputFunctions.Utility_DisplayArrayInTable(Fertiliser_SourceData.Fertiliser_Products_Data2(), FertiliserProducts[[#Headers],[Company]],31)</f>
        <v/>
      </c>
      <c r="AE135" s="192" t="str" cm="1">
        <f t="array" ref="AE135">Common_InputFunctions.Utility_DisplayArrayInTable(Fertiliser_SourceData.Fertiliser_Products_Data2(), FertiliserProducts[[#Headers],[Company]],31)</f>
        <v/>
      </c>
      <c r="AF135" s="192" t="str" cm="1">
        <f t="array" ref="AF135">Common_InputFunctions.Utility_DisplayArrayInTable(Fertiliser_SourceData.Fertiliser_Products_Data2(), FertiliserProducts[[#Headers],[Company]],31)</f>
        <v/>
      </c>
      <c r="AG135" s="192" t="str" cm="1">
        <f t="array" ref="AG135">Common_InputFunctions.Utility_DisplayArrayInTable(Fertiliser_SourceData.Fertiliser_Products_Data2(), FertiliserProducts[[#Headers],[Company]],31)</f>
        <v/>
      </c>
      <c r="AH135" s="192" t="str" cm="1">
        <f t="array" ref="AH135">Common_InputFunctions.Utility_DisplayArrayInTable(Fertiliser_SourceData.Fertiliser_Products_Data2(), FertiliserProducts[[#Headers],[Company]],31)</f>
        <v/>
      </c>
      <c r="AK135" s="1"/>
      <c r="AL135" s="1"/>
      <c r="AM135" s="1"/>
    </row>
    <row r="136" spans="4:39" ht="20.100000000000001" customHeight="1" x14ac:dyDescent="0.25">
      <c r="D136" s="192" t="str" cm="1">
        <f t="array" ref="D136">Common_InputFunctions.Utility_DisplayArrayInTable(Fertiliser_SourceData.Fertiliser_Products_Data2(), FertiliserProducts[[#Headers],[Company]],31)</f>
        <v>Impact Fertilisers</v>
      </c>
      <c r="E136" s="192" t="str" cm="1">
        <f t="array" ref="E136">Common_InputFunctions.Utility_DisplayArrayInTable(Fertiliser_SourceData.Fertiliser_Products_Data2(), FertiliserProducts[[#Headers],[Company]],31)</f>
        <v>Urea</v>
      </c>
      <c r="F136" s="192" t="str" cm="1">
        <f t="array" ref="F136">Common_InputFunctions.Utility_DisplayArrayInTable(Fertiliser_SourceData.Fertiliser_Products_Data2(), FertiliserProducts[[#Headers],[Company]],31)</f>
        <v>kg</v>
      </c>
      <c r="G136" s="192" cm="1">
        <f t="array" ref="G136">Common_InputFunctions.Utility_DisplayArrayInTable(Fertiliser_SourceData.Fertiliser_Products_Data2(), FertiliserProducts[[#Headers],[Company]],31)</f>
        <v>1</v>
      </c>
      <c r="H136" s="192" t="str" cm="1">
        <f t="array" ref="H136">Common_InputFunctions.Utility_DisplayArrayInTable(Fertiliser_SourceData.Fertiliser_Products_Data2(), FertiliserProducts[[#Headers],[Company]],31)</f>
        <v/>
      </c>
      <c r="I136" s="192" t="str" cm="1">
        <f t="array" ref="I136">Common_InputFunctions.Utility_DisplayArrayInTable(Fertiliser_SourceData.Fertiliser_Products_Data2(), FertiliserProducts[[#Headers],[Company]],31)</f>
        <v/>
      </c>
      <c r="J136" s="192" t="str" cm="1">
        <f t="array" ref="J136">Common_InputFunctions.Utility_DisplayArrayInTable(Fertiliser_SourceData.Fertiliser_Products_Data2(), FertiliserProducts[[#Headers],[Company]],31)</f>
        <v/>
      </c>
      <c r="K136" s="192" cm="1">
        <f t="array" ref="K136">Common_InputFunctions.Utility_DisplayArrayInTable(Fertiliser_SourceData.Fertiliser_Products_Data2(), FertiliserProducts[[#Headers],[Company]],31)</f>
        <v>46</v>
      </c>
      <c r="L136" s="192" t="str" cm="1">
        <f t="array" ref="L136">Common_InputFunctions.Utility_DisplayArrayInTable(Fertiliser_SourceData.Fertiliser_Products_Data2(), FertiliserProducts[[#Headers],[Company]],31)</f>
        <v/>
      </c>
      <c r="M136" s="192" t="str" cm="1">
        <f t="array" ref="M136">Common_InputFunctions.Utility_DisplayArrayInTable(Fertiliser_SourceData.Fertiliser_Products_Data2(), FertiliserProducts[[#Headers],[Company]],31)</f>
        <v/>
      </c>
      <c r="N136" s="192" t="str" cm="1">
        <f t="array" ref="N136">Common_InputFunctions.Utility_DisplayArrayInTable(Fertiliser_SourceData.Fertiliser_Products_Data2(), FertiliserProducts[[#Headers],[Company]],31)</f>
        <v/>
      </c>
      <c r="O136" s="192" t="str" cm="1">
        <f t="array" ref="O136">Common_InputFunctions.Utility_DisplayArrayInTable(Fertiliser_SourceData.Fertiliser_Products_Data2(), FertiliserProducts[[#Headers],[Company]],31)</f>
        <v>Urea</v>
      </c>
      <c r="P136" s="192" cm="1">
        <f t="array" ref="P136">Common_InputFunctions.Utility_DisplayArrayInTable(Fertiliser_SourceData.Fertiliser_Products_Data2(), FertiliserProducts[[#Headers],[Company]],31)</f>
        <v>1</v>
      </c>
      <c r="Q136" s="192" t="str" cm="1">
        <f t="array" ref="Q136">Common_InputFunctions.Utility_DisplayArrayInTable(Fertiliser_SourceData.Fertiliser_Products_Data2(), FertiliserProducts[[#Headers],[Company]],31)</f>
        <v/>
      </c>
      <c r="R136" s="192" t="str" cm="1">
        <f t="array" ref="R136">Common_InputFunctions.Utility_DisplayArrayInTable(Fertiliser_SourceData.Fertiliser_Products_Data2(), FertiliserProducts[[#Headers],[Company]],31)</f>
        <v/>
      </c>
      <c r="S136" s="192" t="str" cm="1">
        <f t="array" ref="S136">Common_InputFunctions.Utility_DisplayArrayInTable(Fertiliser_SourceData.Fertiliser_Products_Data2(), FertiliserProducts[[#Headers],[Company]],31)</f>
        <v/>
      </c>
      <c r="T136" s="192" t="str" cm="1">
        <f t="array" ref="T136">Common_InputFunctions.Utility_DisplayArrayInTable(Fertiliser_SourceData.Fertiliser_Products_Data2(), FertiliserProducts[[#Headers],[Company]],31)</f>
        <v/>
      </c>
      <c r="U136" s="192" t="str" cm="1">
        <f t="array" ref="U136">Common_InputFunctions.Utility_DisplayArrayInTable(Fertiliser_SourceData.Fertiliser_Products_Data2(), FertiliserProducts[[#Headers],[Company]],31)</f>
        <v/>
      </c>
      <c r="V136" s="192" t="str" cm="1">
        <f t="array" ref="V136">Common_InputFunctions.Utility_DisplayArrayInTable(Fertiliser_SourceData.Fertiliser_Products_Data2(), FertiliserProducts[[#Headers],[Company]],31)</f>
        <v/>
      </c>
      <c r="W136" s="192" t="str" cm="1">
        <f t="array" ref="W136">Common_InputFunctions.Utility_DisplayArrayInTable(Fertiliser_SourceData.Fertiliser_Products_Data2(), FertiliserProducts[[#Headers],[Company]],31)</f>
        <v/>
      </c>
      <c r="X136" s="192" t="str" cm="1">
        <f t="array" ref="X136">Common_InputFunctions.Utility_DisplayArrayInTable(Fertiliser_SourceData.Fertiliser_Products_Data2(), FertiliserProducts[[#Headers],[Company]],31)</f>
        <v/>
      </c>
      <c r="Y136" s="192" t="str" cm="1">
        <f t="array" ref="Y136">Common_InputFunctions.Utility_DisplayArrayInTable(Fertiliser_SourceData.Fertiliser_Products_Data2(), FertiliserProducts[[#Headers],[Company]],31)</f>
        <v/>
      </c>
      <c r="Z136" s="192" t="str" cm="1">
        <f t="array" ref="Z136">Common_InputFunctions.Utility_DisplayArrayInTable(Fertiliser_SourceData.Fertiliser_Products_Data2(), FertiliserProducts[[#Headers],[Company]],31)</f>
        <v/>
      </c>
      <c r="AA136" s="192" t="str" cm="1">
        <f t="array" ref="AA136">Common_InputFunctions.Utility_DisplayArrayInTable(Fertiliser_SourceData.Fertiliser_Products_Data2(), FertiliserProducts[[#Headers],[Company]],31)</f>
        <v/>
      </c>
      <c r="AB136" s="192" t="str" cm="1">
        <f t="array" ref="AB136">Common_InputFunctions.Utility_DisplayArrayInTable(Fertiliser_SourceData.Fertiliser_Products_Data2(), FertiliserProducts[[#Headers],[Company]],31)</f>
        <v/>
      </c>
      <c r="AC136" s="192" t="str" cm="1">
        <f t="array" ref="AC136">Common_InputFunctions.Utility_DisplayArrayInTable(Fertiliser_SourceData.Fertiliser_Products_Data2(), FertiliserProducts[[#Headers],[Company]],31)</f>
        <v/>
      </c>
      <c r="AD136" s="192" t="str" cm="1">
        <f t="array" ref="AD136">Common_InputFunctions.Utility_DisplayArrayInTable(Fertiliser_SourceData.Fertiliser_Products_Data2(), FertiliserProducts[[#Headers],[Company]],31)</f>
        <v/>
      </c>
      <c r="AE136" s="192" t="str" cm="1">
        <f t="array" ref="AE136">Common_InputFunctions.Utility_DisplayArrayInTable(Fertiliser_SourceData.Fertiliser_Products_Data2(), FertiliserProducts[[#Headers],[Company]],31)</f>
        <v/>
      </c>
      <c r="AF136" s="192" t="str" cm="1">
        <f t="array" ref="AF136">Common_InputFunctions.Utility_DisplayArrayInTable(Fertiliser_SourceData.Fertiliser_Products_Data2(), FertiliserProducts[[#Headers],[Company]],31)</f>
        <v/>
      </c>
      <c r="AG136" s="192" t="str" cm="1">
        <f t="array" ref="AG136">Common_InputFunctions.Utility_DisplayArrayInTable(Fertiliser_SourceData.Fertiliser_Products_Data2(), FertiliserProducts[[#Headers],[Company]],31)</f>
        <v/>
      </c>
      <c r="AH136" s="192" t="str" cm="1">
        <f t="array" ref="AH136">Common_InputFunctions.Utility_DisplayArrayInTable(Fertiliser_SourceData.Fertiliser_Products_Data2(), FertiliserProducts[[#Headers],[Company]],31)</f>
        <v/>
      </c>
      <c r="AK136" s="1"/>
      <c r="AL136" s="1"/>
      <c r="AM136" s="1"/>
    </row>
    <row r="137" spans="4:39" ht="20.100000000000001" customHeight="1" x14ac:dyDescent="0.25">
      <c r="D137" s="192" t="str" cm="1">
        <f t="array" ref="D137">Common_InputFunctions.Utility_DisplayArrayInTable(Fertiliser_SourceData.Fertiliser_Products_Data2(), FertiliserProducts[[#Headers],[Company]],31)</f>
        <v>Koch Fertiliser Australia</v>
      </c>
      <c r="E137" s="192" t="str" cm="1">
        <f t="array" ref="E137">Common_InputFunctions.Utility_DisplayArrayInTable(Fertiliser_SourceData.Fertiliser_Products_Data2(), FertiliserProducts[[#Headers],[Company]],31)</f>
        <v>Muriate of potash (MOP)</v>
      </c>
      <c r="F137" s="192" t="str" cm="1">
        <f t="array" ref="F137">Common_InputFunctions.Utility_DisplayArrayInTable(Fertiliser_SourceData.Fertiliser_Products_Data2(), FertiliserProducts[[#Headers],[Company]],31)</f>
        <v>kg</v>
      </c>
      <c r="G137" s="192" cm="1">
        <f t="array" ref="G137">Common_InputFunctions.Utility_DisplayArrayInTable(Fertiliser_SourceData.Fertiliser_Products_Data2(), FertiliserProducts[[#Headers],[Company]],31)</f>
        <v>1</v>
      </c>
      <c r="H137" s="192" t="str" cm="1">
        <f t="array" ref="H137">Common_InputFunctions.Utility_DisplayArrayInTable(Fertiliser_SourceData.Fertiliser_Products_Data2(), FertiliserProducts[[#Headers],[Company]],31)</f>
        <v/>
      </c>
      <c r="I137" s="192" t="str" cm="1">
        <f t="array" ref="I137">Common_InputFunctions.Utility_DisplayArrayInTable(Fertiliser_SourceData.Fertiliser_Products_Data2(), FertiliserProducts[[#Headers],[Company]],31)</f>
        <v/>
      </c>
      <c r="J137" s="192" t="str" cm="1">
        <f t="array" ref="J137">Common_InputFunctions.Utility_DisplayArrayInTable(Fertiliser_SourceData.Fertiliser_Products_Data2(), FertiliserProducts[[#Headers],[Company]],31)</f>
        <v/>
      </c>
      <c r="K137" s="192" t="str" cm="1">
        <f t="array" ref="K137">Common_InputFunctions.Utility_DisplayArrayInTable(Fertiliser_SourceData.Fertiliser_Products_Data2(), FertiliserProducts[[#Headers],[Company]],31)</f>
        <v/>
      </c>
      <c r="L137" s="192" t="str" cm="1">
        <f t="array" ref="L137">Common_InputFunctions.Utility_DisplayArrayInTable(Fertiliser_SourceData.Fertiliser_Products_Data2(), FertiliserProducts[[#Headers],[Company]],31)</f>
        <v/>
      </c>
      <c r="M137" s="192" cm="1">
        <f t="array" ref="M137">Common_InputFunctions.Utility_DisplayArrayInTable(Fertiliser_SourceData.Fertiliser_Products_Data2(), FertiliserProducts[[#Headers],[Company]],31)</f>
        <v>50</v>
      </c>
      <c r="N137" s="192" t="str" cm="1">
        <f t="array" ref="N137">Common_InputFunctions.Utility_DisplayArrayInTable(Fertiliser_SourceData.Fertiliser_Products_Data2(), FertiliserProducts[[#Headers],[Company]],31)</f>
        <v/>
      </c>
      <c r="O137" s="192" t="str" cm="1">
        <f t="array" ref="O137">Common_InputFunctions.Utility_DisplayArrayInTable(Fertiliser_SourceData.Fertiliser_Products_Data2(), FertiliserProducts[[#Headers],[Company]],31)</f>
        <v>Muriate of potash (MOP)</v>
      </c>
      <c r="P137" s="192" cm="1">
        <f t="array" ref="P137">Common_InputFunctions.Utility_DisplayArrayInTable(Fertiliser_SourceData.Fertiliser_Products_Data2(), FertiliserProducts[[#Headers],[Company]],31)</f>
        <v>1</v>
      </c>
      <c r="Q137" s="192" t="str" cm="1">
        <f t="array" ref="Q137">Common_InputFunctions.Utility_DisplayArrayInTable(Fertiliser_SourceData.Fertiliser_Products_Data2(), FertiliserProducts[[#Headers],[Company]],31)</f>
        <v/>
      </c>
      <c r="R137" s="192" t="str" cm="1">
        <f t="array" ref="R137">Common_InputFunctions.Utility_DisplayArrayInTable(Fertiliser_SourceData.Fertiliser_Products_Data2(), FertiliserProducts[[#Headers],[Company]],31)</f>
        <v/>
      </c>
      <c r="S137" s="192" t="str" cm="1">
        <f t="array" ref="S137">Common_InputFunctions.Utility_DisplayArrayInTable(Fertiliser_SourceData.Fertiliser_Products_Data2(), FertiliserProducts[[#Headers],[Company]],31)</f>
        <v/>
      </c>
      <c r="T137" s="192" t="str" cm="1">
        <f t="array" ref="T137">Common_InputFunctions.Utility_DisplayArrayInTable(Fertiliser_SourceData.Fertiliser_Products_Data2(), FertiliserProducts[[#Headers],[Company]],31)</f>
        <v/>
      </c>
      <c r="U137" s="192" t="str" cm="1">
        <f t="array" ref="U137">Common_InputFunctions.Utility_DisplayArrayInTable(Fertiliser_SourceData.Fertiliser_Products_Data2(), FertiliserProducts[[#Headers],[Company]],31)</f>
        <v/>
      </c>
      <c r="V137" s="192" t="str" cm="1">
        <f t="array" ref="V137">Common_InputFunctions.Utility_DisplayArrayInTable(Fertiliser_SourceData.Fertiliser_Products_Data2(), FertiliserProducts[[#Headers],[Company]],31)</f>
        <v/>
      </c>
      <c r="W137" s="192" t="str" cm="1">
        <f t="array" ref="W137">Common_InputFunctions.Utility_DisplayArrayInTable(Fertiliser_SourceData.Fertiliser_Products_Data2(), FertiliserProducts[[#Headers],[Company]],31)</f>
        <v/>
      </c>
      <c r="X137" s="192" t="str" cm="1">
        <f t="array" ref="X137">Common_InputFunctions.Utility_DisplayArrayInTable(Fertiliser_SourceData.Fertiliser_Products_Data2(), FertiliserProducts[[#Headers],[Company]],31)</f>
        <v/>
      </c>
      <c r="Y137" s="192" t="str" cm="1">
        <f t="array" ref="Y137">Common_InputFunctions.Utility_DisplayArrayInTable(Fertiliser_SourceData.Fertiliser_Products_Data2(), FertiliserProducts[[#Headers],[Company]],31)</f>
        <v/>
      </c>
      <c r="Z137" s="192" t="str" cm="1">
        <f t="array" ref="Z137">Common_InputFunctions.Utility_DisplayArrayInTable(Fertiliser_SourceData.Fertiliser_Products_Data2(), FertiliserProducts[[#Headers],[Company]],31)</f>
        <v/>
      </c>
      <c r="AA137" s="192" t="str" cm="1">
        <f t="array" ref="AA137">Common_InputFunctions.Utility_DisplayArrayInTable(Fertiliser_SourceData.Fertiliser_Products_Data2(), FertiliserProducts[[#Headers],[Company]],31)</f>
        <v/>
      </c>
      <c r="AB137" s="192" t="str" cm="1">
        <f t="array" ref="AB137">Common_InputFunctions.Utility_DisplayArrayInTable(Fertiliser_SourceData.Fertiliser_Products_Data2(), FertiliserProducts[[#Headers],[Company]],31)</f>
        <v/>
      </c>
      <c r="AC137" s="192" t="str" cm="1">
        <f t="array" ref="AC137">Common_InputFunctions.Utility_DisplayArrayInTable(Fertiliser_SourceData.Fertiliser_Products_Data2(), FertiliserProducts[[#Headers],[Company]],31)</f>
        <v/>
      </c>
      <c r="AD137" s="192" t="str" cm="1">
        <f t="array" ref="AD137">Common_InputFunctions.Utility_DisplayArrayInTable(Fertiliser_SourceData.Fertiliser_Products_Data2(), FertiliserProducts[[#Headers],[Company]],31)</f>
        <v/>
      </c>
      <c r="AE137" s="192" t="str" cm="1">
        <f t="array" ref="AE137">Common_InputFunctions.Utility_DisplayArrayInTable(Fertiliser_SourceData.Fertiliser_Products_Data2(), FertiliserProducts[[#Headers],[Company]],31)</f>
        <v/>
      </c>
      <c r="AF137" s="192" t="str" cm="1">
        <f t="array" ref="AF137">Common_InputFunctions.Utility_DisplayArrayInTable(Fertiliser_SourceData.Fertiliser_Products_Data2(), FertiliserProducts[[#Headers],[Company]],31)</f>
        <v/>
      </c>
      <c r="AG137" s="192" t="str" cm="1">
        <f t="array" ref="AG137">Common_InputFunctions.Utility_DisplayArrayInTable(Fertiliser_SourceData.Fertiliser_Products_Data2(), FertiliserProducts[[#Headers],[Company]],31)</f>
        <v/>
      </c>
      <c r="AH137" s="192" t="str" cm="1">
        <f t="array" ref="AH137">Common_InputFunctions.Utility_DisplayArrayInTable(Fertiliser_SourceData.Fertiliser_Products_Data2(), FertiliserProducts[[#Headers],[Company]],31)</f>
        <v/>
      </c>
      <c r="AK137" s="1"/>
      <c r="AL137" s="1"/>
      <c r="AM137" s="1"/>
    </row>
    <row r="138" spans="4:39" ht="20.100000000000001" customHeight="1" x14ac:dyDescent="0.25">
      <c r="D138" s="192" t="str" cm="1">
        <f t="array" ref="D138">Common_InputFunctions.Utility_DisplayArrayInTable(Fertiliser_SourceData.Fertiliser_Products_Data2(), FertiliserProducts[[#Headers],[Company]],31)</f>
        <v>Risso-Chemical</v>
      </c>
      <c r="E138" s="192" t="str" cm="1">
        <f t="array" ref="E138">Common_InputFunctions.Utility_DisplayArrayInTable(Fertiliser_SourceData.Fertiliser_Products_Data2(), FertiliserProducts[[#Headers],[Company]],31)</f>
        <v>Urea Ammonium nitrate (UAN 32-0-0)</v>
      </c>
      <c r="F138" s="192" t="str" cm="1">
        <f t="array" ref="F138">Common_InputFunctions.Utility_DisplayArrayInTable(Fertiliser_SourceData.Fertiliser_Products_Data2(), FertiliserProducts[[#Headers],[Company]],31)</f>
        <v>L</v>
      </c>
      <c r="G138" s="192" cm="1">
        <f t="array" ref="G138">Common_InputFunctions.Utility_DisplayArrayInTable(Fertiliser_SourceData.Fertiliser_Products_Data2(), FertiliserProducts[[#Headers],[Company]],31)</f>
        <v>1.32</v>
      </c>
      <c r="H138" s="192" t="str" cm="1">
        <f t="array" ref="H138">Common_InputFunctions.Utility_DisplayArrayInTable(Fertiliser_SourceData.Fertiliser_Products_Data2(), FertiliserProducts[[#Headers],[Company]],31)</f>
        <v/>
      </c>
      <c r="I138" s="192" t="str" cm="1">
        <f t="array" ref="I138">Common_InputFunctions.Utility_DisplayArrayInTable(Fertiliser_SourceData.Fertiliser_Products_Data2(), FertiliserProducts[[#Headers],[Company]],31)</f>
        <v>China</v>
      </c>
      <c r="J138" s="192" t="str" cm="1">
        <f t="array" ref="J138">Common_InputFunctions.Utility_DisplayArrayInTable(Fertiliser_SourceData.Fertiliser_Products_Data2(), FertiliserProducts[[#Headers],[Company]],31)</f>
        <v>China</v>
      </c>
      <c r="K138" s="192" cm="1">
        <f t="array" ref="K138">Common_InputFunctions.Utility_DisplayArrayInTable(Fertiliser_SourceData.Fertiliser_Products_Data2(), FertiliserProducts[[#Headers],[Company]],31)</f>
        <v>32</v>
      </c>
      <c r="L138" s="192" t="str" cm="1">
        <f t="array" ref="L138">Common_InputFunctions.Utility_DisplayArrayInTable(Fertiliser_SourceData.Fertiliser_Products_Data2(), FertiliserProducts[[#Headers],[Company]],31)</f>
        <v/>
      </c>
      <c r="M138" s="192" t="str" cm="1">
        <f t="array" ref="M138">Common_InputFunctions.Utility_DisplayArrayInTable(Fertiliser_SourceData.Fertiliser_Products_Data2(), FertiliserProducts[[#Headers],[Company]],31)</f>
        <v/>
      </c>
      <c r="N138" s="192" t="str" cm="1">
        <f t="array" ref="N138">Common_InputFunctions.Utility_DisplayArrayInTable(Fertiliser_SourceData.Fertiliser_Products_Data2(), FertiliserProducts[[#Headers],[Company]],31)</f>
        <v/>
      </c>
      <c r="O138" s="192" t="str" cm="1">
        <f t="array" ref="O138">Common_InputFunctions.Utility_DisplayArrayInTable(Fertiliser_SourceData.Fertiliser_Products_Data2(), FertiliserProducts[[#Headers],[Company]],31)</f>
        <v>Urea-ammonium nitrate (UAN)</v>
      </c>
      <c r="P138" s="192" cm="1">
        <f t="array" ref="P138">Common_InputFunctions.Utility_DisplayArrayInTable(Fertiliser_SourceData.Fertiliser_Products_Data2(), FertiliserProducts[[#Headers],[Company]],31)</f>
        <v>1</v>
      </c>
      <c r="Q138" s="192" t="str" cm="1">
        <f t="array" ref="Q138">Common_InputFunctions.Utility_DisplayArrayInTable(Fertiliser_SourceData.Fertiliser_Products_Data2(), FertiliserProducts[[#Headers],[Company]],31)</f>
        <v/>
      </c>
      <c r="R138" s="192" t="str" cm="1">
        <f t="array" ref="R138">Common_InputFunctions.Utility_DisplayArrayInTable(Fertiliser_SourceData.Fertiliser_Products_Data2(), FertiliserProducts[[#Headers],[Company]],31)</f>
        <v/>
      </c>
      <c r="S138" s="192" t="str" cm="1">
        <f t="array" ref="S138">Common_InputFunctions.Utility_DisplayArrayInTable(Fertiliser_SourceData.Fertiliser_Products_Data2(), FertiliserProducts[[#Headers],[Company]],31)</f>
        <v/>
      </c>
      <c r="T138" s="192" t="str" cm="1">
        <f t="array" ref="T138">Common_InputFunctions.Utility_DisplayArrayInTable(Fertiliser_SourceData.Fertiliser_Products_Data2(), FertiliserProducts[[#Headers],[Company]],31)</f>
        <v/>
      </c>
      <c r="U138" s="192" t="str" cm="1">
        <f t="array" ref="U138">Common_InputFunctions.Utility_DisplayArrayInTable(Fertiliser_SourceData.Fertiliser_Products_Data2(), FertiliserProducts[[#Headers],[Company]],31)</f>
        <v/>
      </c>
      <c r="V138" s="192" t="str" cm="1">
        <f t="array" ref="V138">Common_InputFunctions.Utility_DisplayArrayInTable(Fertiliser_SourceData.Fertiliser_Products_Data2(), FertiliserProducts[[#Headers],[Company]],31)</f>
        <v/>
      </c>
      <c r="W138" s="192" t="str" cm="1">
        <f t="array" ref="W138">Common_InputFunctions.Utility_DisplayArrayInTable(Fertiliser_SourceData.Fertiliser_Products_Data2(), FertiliserProducts[[#Headers],[Company]],31)</f>
        <v/>
      </c>
      <c r="X138" s="192" t="str" cm="1">
        <f t="array" ref="X138">Common_InputFunctions.Utility_DisplayArrayInTable(Fertiliser_SourceData.Fertiliser_Products_Data2(), FertiliserProducts[[#Headers],[Company]],31)</f>
        <v/>
      </c>
      <c r="Y138" s="192" t="str" cm="1">
        <f t="array" ref="Y138">Common_InputFunctions.Utility_DisplayArrayInTable(Fertiliser_SourceData.Fertiliser_Products_Data2(), FertiliserProducts[[#Headers],[Company]],31)</f>
        <v/>
      </c>
      <c r="Z138" s="192" t="str" cm="1">
        <f t="array" ref="Z138">Common_InputFunctions.Utility_DisplayArrayInTable(Fertiliser_SourceData.Fertiliser_Products_Data2(), FertiliserProducts[[#Headers],[Company]],31)</f>
        <v/>
      </c>
      <c r="AA138" s="192" t="str" cm="1">
        <f t="array" ref="AA138">Common_InputFunctions.Utility_DisplayArrayInTable(Fertiliser_SourceData.Fertiliser_Products_Data2(), FertiliserProducts[[#Headers],[Company]],31)</f>
        <v/>
      </c>
      <c r="AB138" s="192" t="str" cm="1">
        <f t="array" ref="AB138">Common_InputFunctions.Utility_DisplayArrayInTable(Fertiliser_SourceData.Fertiliser_Products_Data2(), FertiliserProducts[[#Headers],[Company]],31)</f>
        <v/>
      </c>
      <c r="AC138" s="192" t="str" cm="1">
        <f t="array" ref="AC138">Common_InputFunctions.Utility_DisplayArrayInTable(Fertiliser_SourceData.Fertiliser_Products_Data2(), FertiliserProducts[[#Headers],[Company]],31)</f>
        <v/>
      </c>
      <c r="AD138" s="192" t="str" cm="1">
        <f t="array" ref="AD138">Common_InputFunctions.Utility_DisplayArrayInTable(Fertiliser_SourceData.Fertiliser_Products_Data2(), FertiliserProducts[[#Headers],[Company]],31)</f>
        <v/>
      </c>
      <c r="AE138" s="192" t="str" cm="1">
        <f t="array" ref="AE138">Common_InputFunctions.Utility_DisplayArrayInTable(Fertiliser_SourceData.Fertiliser_Products_Data2(), FertiliserProducts[[#Headers],[Company]],31)</f>
        <v/>
      </c>
      <c r="AF138" s="192" t="str" cm="1">
        <f t="array" ref="AF138">Common_InputFunctions.Utility_DisplayArrayInTable(Fertiliser_SourceData.Fertiliser_Products_Data2(), FertiliserProducts[[#Headers],[Company]],31)</f>
        <v/>
      </c>
      <c r="AG138" s="192" t="str" cm="1">
        <f t="array" ref="AG138">Common_InputFunctions.Utility_DisplayArrayInTable(Fertiliser_SourceData.Fertiliser_Products_Data2(), FertiliserProducts[[#Headers],[Company]],31)</f>
        <v/>
      </c>
      <c r="AH138" s="192" t="str" cm="1">
        <f t="array" ref="AH138">Common_InputFunctions.Utility_DisplayArrayInTable(Fertiliser_SourceData.Fertiliser_Products_Data2(), FertiliserProducts[[#Headers],[Company]],31)</f>
        <v/>
      </c>
      <c r="AK138" s="1"/>
      <c r="AL138" s="1"/>
      <c r="AM138" s="1"/>
    </row>
    <row r="139" spans="4:39" ht="20.100000000000001" customHeight="1" x14ac:dyDescent="0.25">
      <c r="D139" s="192" t="str" cm="1">
        <f t="array" ref="D139">Common_InputFunctions.Utility_DisplayArrayInTable(Fertiliser_SourceData.Fertiliser_Products_Data2(), FertiliserProducts[[#Headers],[Company]],31)</f>
        <v>Risso-Chemical</v>
      </c>
      <c r="E139" s="192" t="str" cm="1">
        <f t="array" ref="E139">Common_InputFunctions.Utility_DisplayArrayInTable(Fertiliser_SourceData.Fertiliser_Products_Data2(), FertiliserProducts[[#Headers],[Company]],31)</f>
        <v>Polypeptide Urea</v>
      </c>
      <c r="F139" s="192" t="str" cm="1">
        <f t="array" ref="F139">Common_InputFunctions.Utility_DisplayArrayInTable(Fertiliser_SourceData.Fertiliser_Products_Data2(), FertiliserProducts[[#Headers],[Company]],31)</f>
        <v>kg</v>
      </c>
      <c r="G139" s="192" cm="1">
        <f t="array" ref="G139">Common_InputFunctions.Utility_DisplayArrayInTable(Fertiliser_SourceData.Fertiliser_Products_Data2(), FertiliserProducts[[#Headers],[Company]],31)</f>
        <v>1</v>
      </c>
      <c r="H139" s="192" t="str" cm="1">
        <f t="array" ref="H139">Common_InputFunctions.Utility_DisplayArrayInTable(Fertiliser_SourceData.Fertiliser_Products_Data2(), FertiliserProducts[[#Headers],[Company]],31)</f>
        <v/>
      </c>
      <c r="I139" s="192" t="str" cm="1">
        <f t="array" ref="I139">Common_InputFunctions.Utility_DisplayArrayInTable(Fertiliser_SourceData.Fertiliser_Products_Data2(), FertiliserProducts[[#Headers],[Company]],31)</f>
        <v>China</v>
      </c>
      <c r="J139" s="192" t="str" cm="1">
        <f t="array" ref="J139">Common_InputFunctions.Utility_DisplayArrayInTable(Fertiliser_SourceData.Fertiliser_Products_Data2(), FertiliserProducts[[#Headers],[Company]],31)</f>
        <v/>
      </c>
      <c r="K139" s="192" cm="1">
        <f t="array" ref="K139">Common_InputFunctions.Utility_DisplayArrayInTable(Fertiliser_SourceData.Fertiliser_Products_Data2(), FertiliserProducts[[#Headers],[Company]],31)</f>
        <v>46</v>
      </c>
      <c r="L139" s="192" t="str" cm="1">
        <f t="array" ref="L139">Common_InputFunctions.Utility_DisplayArrayInTable(Fertiliser_SourceData.Fertiliser_Products_Data2(), FertiliserProducts[[#Headers],[Company]],31)</f>
        <v/>
      </c>
      <c r="M139" s="192" t="str" cm="1">
        <f t="array" ref="M139">Common_InputFunctions.Utility_DisplayArrayInTable(Fertiliser_SourceData.Fertiliser_Products_Data2(), FertiliserProducts[[#Headers],[Company]],31)</f>
        <v/>
      </c>
      <c r="N139" s="192" t="str" cm="1">
        <f t="array" ref="N139">Common_InputFunctions.Utility_DisplayArrayInTable(Fertiliser_SourceData.Fertiliser_Products_Data2(), FertiliserProducts[[#Headers],[Company]],31)</f>
        <v/>
      </c>
      <c r="O139" s="192" t="str" cm="1">
        <f t="array" ref="O139">Common_InputFunctions.Utility_DisplayArrayInTable(Fertiliser_SourceData.Fertiliser_Products_Data2(), FertiliserProducts[[#Headers],[Company]],31)</f>
        <v>Urea</v>
      </c>
      <c r="P139" s="192" cm="1">
        <f t="array" ref="P139">Common_InputFunctions.Utility_DisplayArrayInTable(Fertiliser_SourceData.Fertiliser_Products_Data2(), FertiliserProducts[[#Headers],[Company]],31)</f>
        <v>1</v>
      </c>
      <c r="Q139" s="192" t="str" cm="1">
        <f t="array" ref="Q139">Common_InputFunctions.Utility_DisplayArrayInTable(Fertiliser_SourceData.Fertiliser_Products_Data2(), FertiliserProducts[[#Headers],[Company]],31)</f>
        <v>Polypeptide (amino acids)</v>
      </c>
      <c r="R139" s="192" cm="1">
        <f t="array" ref="R139">Common_InputFunctions.Utility_DisplayArrayInTable(Fertiliser_SourceData.Fertiliser_Products_Data2(), FertiliserProducts[[#Headers],[Company]],31)</f>
        <v>0</v>
      </c>
      <c r="S139" s="192" t="str" cm="1">
        <f t="array" ref="S139">Common_InputFunctions.Utility_DisplayArrayInTable(Fertiliser_SourceData.Fertiliser_Products_Data2(), FertiliserProducts[[#Headers],[Company]],31)</f>
        <v/>
      </c>
      <c r="T139" s="192" t="str" cm="1">
        <f t="array" ref="T139">Common_InputFunctions.Utility_DisplayArrayInTable(Fertiliser_SourceData.Fertiliser_Products_Data2(), FertiliserProducts[[#Headers],[Company]],31)</f>
        <v/>
      </c>
      <c r="U139" s="192" t="str" cm="1">
        <f t="array" ref="U139">Common_InputFunctions.Utility_DisplayArrayInTable(Fertiliser_SourceData.Fertiliser_Products_Data2(), FertiliserProducts[[#Headers],[Company]],31)</f>
        <v/>
      </c>
      <c r="V139" s="192" t="str" cm="1">
        <f t="array" ref="V139">Common_InputFunctions.Utility_DisplayArrayInTable(Fertiliser_SourceData.Fertiliser_Products_Data2(), FertiliserProducts[[#Headers],[Company]],31)</f>
        <v/>
      </c>
      <c r="W139" s="192" t="str" cm="1">
        <f t="array" ref="W139">Common_InputFunctions.Utility_DisplayArrayInTable(Fertiliser_SourceData.Fertiliser_Products_Data2(), FertiliserProducts[[#Headers],[Company]],31)</f>
        <v/>
      </c>
      <c r="X139" s="192" t="str" cm="1">
        <f t="array" ref="X139">Common_InputFunctions.Utility_DisplayArrayInTable(Fertiliser_SourceData.Fertiliser_Products_Data2(), FertiliserProducts[[#Headers],[Company]],31)</f>
        <v/>
      </c>
      <c r="Y139" s="192" t="str" cm="1">
        <f t="array" ref="Y139">Common_InputFunctions.Utility_DisplayArrayInTable(Fertiliser_SourceData.Fertiliser_Products_Data2(), FertiliserProducts[[#Headers],[Company]],31)</f>
        <v/>
      </c>
      <c r="Z139" s="192" t="str" cm="1">
        <f t="array" ref="Z139">Common_InputFunctions.Utility_DisplayArrayInTable(Fertiliser_SourceData.Fertiliser_Products_Data2(), FertiliserProducts[[#Headers],[Company]],31)</f>
        <v/>
      </c>
      <c r="AA139" s="192" t="str" cm="1">
        <f t="array" ref="AA139">Common_InputFunctions.Utility_DisplayArrayInTable(Fertiliser_SourceData.Fertiliser_Products_Data2(), FertiliserProducts[[#Headers],[Company]],31)</f>
        <v/>
      </c>
      <c r="AB139" s="192" t="str" cm="1">
        <f t="array" ref="AB139">Common_InputFunctions.Utility_DisplayArrayInTable(Fertiliser_SourceData.Fertiliser_Products_Data2(), FertiliserProducts[[#Headers],[Company]],31)</f>
        <v/>
      </c>
      <c r="AC139" s="192" t="str" cm="1">
        <f t="array" ref="AC139">Common_InputFunctions.Utility_DisplayArrayInTable(Fertiliser_SourceData.Fertiliser_Products_Data2(), FertiliserProducts[[#Headers],[Company]],31)</f>
        <v/>
      </c>
      <c r="AD139" s="192" t="str" cm="1">
        <f t="array" ref="AD139">Common_InputFunctions.Utility_DisplayArrayInTable(Fertiliser_SourceData.Fertiliser_Products_Data2(), FertiliserProducts[[#Headers],[Company]],31)</f>
        <v/>
      </c>
      <c r="AE139" s="192" t="str" cm="1">
        <f t="array" ref="AE139">Common_InputFunctions.Utility_DisplayArrayInTable(Fertiliser_SourceData.Fertiliser_Products_Data2(), FertiliserProducts[[#Headers],[Company]],31)</f>
        <v/>
      </c>
      <c r="AF139" s="192" t="str" cm="1">
        <f t="array" ref="AF139">Common_InputFunctions.Utility_DisplayArrayInTable(Fertiliser_SourceData.Fertiliser_Products_Data2(), FertiliserProducts[[#Headers],[Company]],31)</f>
        <v/>
      </c>
      <c r="AG139" s="192" t="str" cm="1">
        <f t="array" ref="AG139">Common_InputFunctions.Utility_DisplayArrayInTable(Fertiliser_SourceData.Fertiliser_Products_Data2(), FertiliserProducts[[#Headers],[Company]],31)</f>
        <v/>
      </c>
      <c r="AH139" s="192" t="str" cm="1">
        <f t="array" ref="AH139">Common_InputFunctions.Utility_DisplayArrayInTable(Fertiliser_SourceData.Fertiliser_Products_Data2(), FertiliserProducts[[#Headers],[Company]],31)</f>
        <v/>
      </c>
      <c r="AK139" s="1"/>
      <c r="AL139" s="1"/>
      <c r="AM139" s="1"/>
    </row>
    <row r="140" spans="4:39" ht="20.100000000000001" customHeight="1" x14ac:dyDescent="0.25">
      <c r="D140" s="192" t="str" cm="1">
        <f t="array" ref="D140">Common_InputFunctions.Utility_DisplayArrayInTable(Fertiliser_SourceData.Fertiliser_Products_Data2(), FertiliserProducts[[#Headers],[Company]],31)</f>
        <v>Yara Australia</v>
      </c>
      <c r="E140" s="192" t="str" cm="1">
        <f t="array" ref="E140">Common_InputFunctions.Utility_DisplayArrayInTable(Fertiliser_SourceData.Fertiliser_Products_Data2(), FertiliserProducts[[#Headers],[Company]],31)</f>
        <v>YaraTera CALCINIT</v>
      </c>
      <c r="F140" s="192" t="str" cm="1">
        <f t="array" ref="F140">Common_InputFunctions.Utility_DisplayArrayInTable(Fertiliser_SourceData.Fertiliser_Products_Data2(), FertiliserProducts[[#Headers],[Company]],31)</f>
        <v>kg</v>
      </c>
      <c r="G140" s="192" cm="1">
        <f t="array" ref="G140">Common_InputFunctions.Utility_DisplayArrayInTable(Fertiliser_SourceData.Fertiliser_Products_Data2(), FertiliserProducts[[#Headers],[Company]],31)</f>
        <v>1</v>
      </c>
      <c r="H140" s="192" t="str" cm="1">
        <f t="array" ref="H140">Common_InputFunctions.Utility_DisplayArrayInTable(Fertiliser_SourceData.Fertiliser_Products_Data2(), FertiliserProducts[[#Headers],[Company]],31)</f>
        <v/>
      </c>
      <c r="I140" s="192" t="str" cm="1">
        <f t="array" ref="I140">Common_InputFunctions.Utility_DisplayArrayInTable(Fertiliser_SourceData.Fertiliser_Products_Data2(), FertiliserProducts[[#Headers],[Company]],31)</f>
        <v/>
      </c>
      <c r="J140" s="192" t="str" cm="1">
        <f t="array" ref="J140">Common_InputFunctions.Utility_DisplayArrayInTable(Fertiliser_SourceData.Fertiliser_Products_Data2(), FertiliserProducts[[#Headers],[Company]],31)</f>
        <v/>
      </c>
      <c r="K140" s="192" cm="1">
        <f t="array" ref="K140">Common_InputFunctions.Utility_DisplayArrayInTable(Fertiliser_SourceData.Fertiliser_Products_Data2(), FertiliserProducts[[#Headers],[Company]],31)</f>
        <v>15.5</v>
      </c>
      <c r="L140" s="192" t="str" cm="1">
        <f t="array" ref="L140">Common_InputFunctions.Utility_DisplayArrayInTable(Fertiliser_SourceData.Fertiliser_Products_Data2(), FertiliserProducts[[#Headers],[Company]],31)</f>
        <v/>
      </c>
      <c r="M140" s="192" t="str" cm="1">
        <f t="array" ref="M140">Common_InputFunctions.Utility_DisplayArrayInTable(Fertiliser_SourceData.Fertiliser_Products_Data2(), FertiliserProducts[[#Headers],[Company]],31)</f>
        <v/>
      </c>
      <c r="N140" s="192" t="str" cm="1">
        <f t="array" ref="N140">Common_InputFunctions.Utility_DisplayArrayInTable(Fertiliser_SourceData.Fertiliser_Products_Data2(), FertiliserProducts[[#Headers],[Company]],31)</f>
        <v/>
      </c>
      <c r="O140" s="192" t="str" cm="1">
        <f t="array" ref="O140">Common_InputFunctions.Utility_DisplayArrayInTable(Fertiliser_SourceData.Fertiliser_Products_Data2(), FertiliserProducts[[#Headers],[Company]],31)</f>
        <v>Calcium nitrate</v>
      </c>
      <c r="P140" s="192" cm="1">
        <f t="array" ref="P140">Common_InputFunctions.Utility_DisplayArrayInTable(Fertiliser_SourceData.Fertiliser_Products_Data2(), FertiliserProducts[[#Headers],[Company]],31)</f>
        <v>1</v>
      </c>
      <c r="Q140" s="192" t="str" cm="1">
        <f t="array" ref="Q140">Common_InputFunctions.Utility_DisplayArrayInTable(Fertiliser_SourceData.Fertiliser_Products_Data2(), FertiliserProducts[[#Headers],[Company]],31)</f>
        <v/>
      </c>
      <c r="R140" s="192" t="str" cm="1">
        <f t="array" ref="R140">Common_InputFunctions.Utility_DisplayArrayInTable(Fertiliser_SourceData.Fertiliser_Products_Data2(), FertiliserProducts[[#Headers],[Company]],31)</f>
        <v/>
      </c>
      <c r="S140" s="192" t="str" cm="1">
        <f t="array" ref="S140">Common_InputFunctions.Utility_DisplayArrayInTable(Fertiliser_SourceData.Fertiliser_Products_Data2(), FertiliserProducts[[#Headers],[Company]],31)</f>
        <v/>
      </c>
      <c r="T140" s="192" t="str" cm="1">
        <f t="array" ref="T140">Common_InputFunctions.Utility_DisplayArrayInTable(Fertiliser_SourceData.Fertiliser_Products_Data2(), FertiliserProducts[[#Headers],[Company]],31)</f>
        <v/>
      </c>
      <c r="U140" s="192" t="str" cm="1">
        <f t="array" ref="U140">Common_InputFunctions.Utility_DisplayArrayInTable(Fertiliser_SourceData.Fertiliser_Products_Data2(), FertiliserProducts[[#Headers],[Company]],31)</f>
        <v/>
      </c>
      <c r="V140" s="192" t="str" cm="1">
        <f t="array" ref="V140">Common_InputFunctions.Utility_DisplayArrayInTable(Fertiliser_SourceData.Fertiliser_Products_Data2(), FertiliserProducts[[#Headers],[Company]],31)</f>
        <v/>
      </c>
      <c r="W140" s="192" t="str" cm="1">
        <f t="array" ref="W140">Common_InputFunctions.Utility_DisplayArrayInTable(Fertiliser_SourceData.Fertiliser_Products_Data2(), FertiliserProducts[[#Headers],[Company]],31)</f>
        <v/>
      </c>
      <c r="X140" s="192" t="str" cm="1">
        <f t="array" ref="X140">Common_InputFunctions.Utility_DisplayArrayInTable(Fertiliser_SourceData.Fertiliser_Products_Data2(), FertiliserProducts[[#Headers],[Company]],31)</f>
        <v/>
      </c>
      <c r="Y140" s="192" t="str" cm="1">
        <f t="array" ref="Y140">Common_InputFunctions.Utility_DisplayArrayInTable(Fertiliser_SourceData.Fertiliser_Products_Data2(), FertiliserProducts[[#Headers],[Company]],31)</f>
        <v/>
      </c>
      <c r="Z140" s="192" t="str" cm="1">
        <f t="array" ref="Z140">Common_InputFunctions.Utility_DisplayArrayInTable(Fertiliser_SourceData.Fertiliser_Products_Data2(), FertiliserProducts[[#Headers],[Company]],31)</f>
        <v/>
      </c>
      <c r="AA140" s="192" t="str" cm="1">
        <f t="array" ref="AA140">Common_InputFunctions.Utility_DisplayArrayInTable(Fertiliser_SourceData.Fertiliser_Products_Data2(), FertiliserProducts[[#Headers],[Company]],31)</f>
        <v/>
      </c>
      <c r="AB140" s="192" t="str" cm="1">
        <f t="array" ref="AB140">Common_InputFunctions.Utility_DisplayArrayInTable(Fertiliser_SourceData.Fertiliser_Products_Data2(), FertiliserProducts[[#Headers],[Company]],31)</f>
        <v/>
      </c>
      <c r="AC140" s="192" t="str" cm="1">
        <f t="array" ref="AC140">Common_InputFunctions.Utility_DisplayArrayInTable(Fertiliser_SourceData.Fertiliser_Products_Data2(), FertiliserProducts[[#Headers],[Company]],31)</f>
        <v/>
      </c>
      <c r="AD140" s="192" t="str" cm="1">
        <f t="array" ref="AD140">Common_InputFunctions.Utility_DisplayArrayInTable(Fertiliser_SourceData.Fertiliser_Products_Data2(), FertiliserProducts[[#Headers],[Company]],31)</f>
        <v/>
      </c>
      <c r="AE140" s="192" t="str" cm="1">
        <f t="array" ref="AE140">Common_InputFunctions.Utility_DisplayArrayInTable(Fertiliser_SourceData.Fertiliser_Products_Data2(), FertiliserProducts[[#Headers],[Company]],31)</f>
        <v/>
      </c>
      <c r="AF140" s="192" t="str" cm="1">
        <f t="array" ref="AF140">Common_InputFunctions.Utility_DisplayArrayInTable(Fertiliser_SourceData.Fertiliser_Products_Data2(), FertiliserProducts[[#Headers],[Company]],31)</f>
        <v/>
      </c>
      <c r="AG140" s="192" t="str" cm="1">
        <f t="array" ref="AG140">Common_InputFunctions.Utility_DisplayArrayInTable(Fertiliser_SourceData.Fertiliser_Products_Data2(), FertiliserProducts[[#Headers],[Company]],31)</f>
        <v/>
      </c>
      <c r="AH140" s="192" t="str" cm="1">
        <f t="array" ref="AH140">Common_InputFunctions.Utility_DisplayArrayInTable(Fertiliser_SourceData.Fertiliser_Products_Data2(), FertiliserProducts[[#Headers],[Company]],31)</f>
        <v/>
      </c>
      <c r="AK140" s="1"/>
      <c r="AL140" s="1"/>
      <c r="AM140" s="1"/>
    </row>
    <row r="141" spans="4:39" ht="20.100000000000001" customHeight="1" x14ac:dyDescent="0.25">
      <c r="D141" s="192" t="str" cm="1">
        <f t="array" ref="D141">Common_InputFunctions.Utility_DisplayArrayInTable(Fertiliser_SourceData.Fertiliser_Products_Data2(), FertiliserProducts[[#Headers],[Company]],31)</f>
        <v>Yara Australia</v>
      </c>
      <c r="E141" s="192" t="str" cm="1">
        <f t="array" ref="E141">Common_InputFunctions.Utility_DisplayArrayInTable(Fertiliser_SourceData.Fertiliser_Products_Data2(), FertiliserProducts[[#Headers],[Company]],31)</f>
        <v>YaraLiva NITRABOR</v>
      </c>
      <c r="F141" s="192" t="str" cm="1">
        <f t="array" ref="F141">Common_InputFunctions.Utility_DisplayArrayInTable(Fertiliser_SourceData.Fertiliser_Products_Data2(), FertiliserProducts[[#Headers],[Company]],31)</f>
        <v>kg</v>
      </c>
      <c r="G141" s="192" cm="1">
        <f t="array" ref="G141">Common_InputFunctions.Utility_DisplayArrayInTable(Fertiliser_SourceData.Fertiliser_Products_Data2(), FertiliserProducts[[#Headers],[Company]],31)</f>
        <v>1</v>
      </c>
      <c r="H141" s="192" t="str" cm="1">
        <f t="array" ref="H141">Common_InputFunctions.Utility_DisplayArrayInTable(Fertiliser_SourceData.Fertiliser_Products_Data2(), FertiliserProducts[[#Headers],[Company]],31)</f>
        <v/>
      </c>
      <c r="I141" s="192" t="str" cm="1">
        <f t="array" ref="I141">Common_InputFunctions.Utility_DisplayArrayInTable(Fertiliser_SourceData.Fertiliser_Products_Data2(), FertiliserProducts[[#Headers],[Company]],31)</f>
        <v/>
      </c>
      <c r="J141" s="192" t="str" cm="1">
        <f t="array" ref="J141">Common_InputFunctions.Utility_DisplayArrayInTable(Fertiliser_SourceData.Fertiliser_Products_Data2(), FertiliserProducts[[#Headers],[Company]],31)</f>
        <v/>
      </c>
      <c r="K141" s="192" cm="1">
        <f t="array" ref="K141">Common_InputFunctions.Utility_DisplayArrayInTable(Fertiliser_SourceData.Fertiliser_Products_Data2(), FertiliserProducts[[#Headers],[Company]],31)</f>
        <v>15.4</v>
      </c>
      <c r="L141" s="192" t="str" cm="1">
        <f t="array" ref="L141">Common_InputFunctions.Utility_DisplayArrayInTable(Fertiliser_SourceData.Fertiliser_Products_Data2(), FertiliserProducts[[#Headers],[Company]],31)</f>
        <v/>
      </c>
      <c r="M141" s="192" t="str" cm="1">
        <f t="array" ref="M141">Common_InputFunctions.Utility_DisplayArrayInTable(Fertiliser_SourceData.Fertiliser_Products_Data2(), FertiliserProducts[[#Headers],[Company]],31)</f>
        <v/>
      </c>
      <c r="N141" s="192" t="str" cm="1">
        <f t="array" ref="N141">Common_InputFunctions.Utility_DisplayArrayInTable(Fertiliser_SourceData.Fertiliser_Products_Data2(), FertiliserProducts[[#Headers],[Company]],31)</f>
        <v/>
      </c>
      <c r="O141" s="192" t="str" cm="1">
        <f t="array" ref="O141">Common_InputFunctions.Utility_DisplayArrayInTable(Fertiliser_SourceData.Fertiliser_Products_Data2(), FertiliserProducts[[#Headers],[Company]],31)</f>
        <v>Calcium nitrate</v>
      </c>
      <c r="P141" s="192" cm="1">
        <f t="array" ref="P141">Common_InputFunctions.Utility_DisplayArrayInTable(Fertiliser_SourceData.Fertiliser_Products_Data2(), FertiliserProducts[[#Headers],[Company]],31)</f>
        <v>0.99354799999999999</v>
      </c>
      <c r="Q141" s="192" t="str" cm="1">
        <f t="array" ref="Q141">Common_InputFunctions.Utility_DisplayArrayInTable(Fertiliser_SourceData.Fertiliser_Products_Data2(), FertiliserProducts[[#Headers],[Company]],31)</f>
        <v>Boron</v>
      </c>
      <c r="R141" s="192" cm="1">
        <f t="array" ref="R141">Common_InputFunctions.Utility_DisplayArrayInTable(Fertiliser_SourceData.Fertiliser_Products_Data2(), FertiliserProducts[[#Headers],[Company]],31)</f>
        <v>3.0000000000000001E-3</v>
      </c>
      <c r="S141" s="192" t="str" cm="1">
        <f t="array" ref="S141">Common_InputFunctions.Utility_DisplayArrayInTable(Fertiliser_SourceData.Fertiliser_Products_Data2(), FertiliserProducts[[#Headers],[Company]],31)</f>
        <v/>
      </c>
      <c r="T141" s="192" t="str" cm="1">
        <f t="array" ref="T141">Common_InputFunctions.Utility_DisplayArrayInTable(Fertiliser_SourceData.Fertiliser_Products_Data2(), FertiliserProducts[[#Headers],[Company]],31)</f>
        <v/>
      </c>
      <c r="U141" s="192" t="str" cm="1">
        <f t="array" ref="U141">Common_InputFunctions.Utility_DisplayArrayInTable(Fertiliser_SourceData.Fertiliser_Products_Data2(), FertiliserProducts[[#Headers],[Company]],31)</f>
        <v/>
      </c>
      <c r="V141" s="192" t="str" cm="1">
        <f t="array" ref="V141">Common_InputFunctions.Utility_DisplayArrayInTable(Fertiliser_SourceData.Fertiliser_Products_Data2(), FertiliserProducts[[#Headers],[Company]],31)</f>
        <v/>
      </c>
      <c r="W141" s="192" t="str" cm="1">
        <f t="array" ref="W141">Common_InputFunctions.Utility_DisplayArrayInTable(Fertiliser_SourceData.Fertiliser_Products_Data2(), FertiliserProducts[[#Headers],[Company]],31)</f>
        <v/>
      </c>
      <c r="X141" s="192" t="str" cm="1">
        <f t="array" ref="X141">Common_InputFunctions.Utility_DisplayArrayInTable(Fertiliser_SourceData.Fertiliser_Products_Data2(), FertiliserProducts[[#Headers],[Company]],31)</f>
        <v/>
      </c>
      <c r="Y141" s="192" t="str" cm="1">
        <f t="array" ref="Y141">Common_InputFunctions.Utility_DisplayArrayInTable(Fertiliser_SourceData.Fertiliser_Products_Data2(), FertiliserProducts[[#Headers],[Company]],31)</f>
        <v/>
      </c>
      <c r="Z141" s="192" t="str" cm="1">
        <f t="array" ref="Z141">Common_InputFunctions.Utility_DisplayArrayInTable(Fertiliser_SourceData.Fertiliser_Products_Data2(), FertiliserProducts[[#Headers],[Company]],31)</f>
        <v/>
      </c>
      <c r="AA141" s="192" t="str" cm="1">
        <f t="array" ref="AA141">Common_InputFunctions.Utility_DisplayArrayInTable(Fertiliser_SourceData.Fertiliser_Products_Data2(), FertiliserProducts[[#Headers],[Company]],31)</f>
        <v/>
      </c>
      <c r="AB141" s="192" t="str" cm="1">
        <f t="array" ref="AB141">Common_InputFunctions.Utility_DisplayArrayInTable(Fertiliser_SourceData.Fertiliser_Products_Data2(), FertiliserProducts[[#Headers],[Company]],31)</f>
        <v/>
      </c>
      <c r="AC141" s="192" t="str" cm="1">
        <f t="array" ref="AC141">Common_InputFunctions.Utility_DisplayArrayInTable(Fertiliser_SourceData.Fertiliser_Products_Data2(), FertiliserProducts[[#Headers],[Company]],31)</f>
        <v/>
      </c>
      <c r="AD141" s="192" t="str" cm="1">
        <f t="array" ref="AD141">Common_InputFunctions.Utility_DisplayArrayInTable(Fertiliser_SourceData.Fertiliser_Products_Data2(), FertiliserProducts[[#Headers],[Company]],31)</f>
        <v/>
      </c>
      <c r="AE141" s="192" t="str" cm="1">
        <f t="array" ref="AE141">Common_InputFunctions.Utility_DisplayArrayInTable(Fertiliser_SourceData.Fertiliser_Products_Data2(), FertiliserProducts[[#Headers],[Company]],31)</f>
        <v/>
      </c>
      <c r="AF141" s="192" t="str" cm="1">
        <f t="array" ref="AF141">Common_InputFunctions.Utility_DisplayArrayInTable(Fertiliser_SourceData.Fertiliser_Products_Data2(), FertiliserProducts[[#Headers],[Company]],31)</f>
        <v/>
      </c>
      <c r="AG141" s="192" t="str" cm="1">
        <f t="array" ref="AG141">Common_InputFunctions.Utility_DisplayArrayInTable(Fertiliser_SourceData.Fertiliser_Products_Data2(), FertiliserProducts[[#Headers],[Company]],31)</f>
        <v/>
      </c>
      <c r="AH141" s="192" t="str" cm="1">
        <f t="array" ref="AH141">Common_InputFunctions.Utility_DisplayArrayInTable(Fertiliser_SourceData.Fertiliser_Products_Data2(), FertiliserProducts[[#Headers],[Company]],31)</f>
        <v/>
      </c>
      <c r="AK141" s="1"/>
      <c r="AL141" s="1"/>
      <c r="AM141" s="1"/>
    </row>
    <row r="142" spans="4:39" ht="20.100000000000001" customHeight="1" x14ac:dyDescent="0.25">
      <c r="D142" s="192" t="str" cm="1">
        <f t="array" ref="D142">Common_InputFunctions.Utility_DisplayArrayInTable(Fertiliser_SourceData.Fertiliser_Products_Data2(), FertiliserProducts[[#Headers],[Company]],31)</f>
        <v>Yara Australia</v>
      </c>
      <c r="E142" s="192" t="str" cm="1">
        <f t="array" ref="E142">Common_InputFunctions.Utility_DisplayArrayInTable(Fertiliser_SourceData.Fertiliser_Products_Data2(), FertiliserProducts[[#Headers],[Company]],31)</f>
        <v>YaraMila COMPLEX</v>
      </c>
      <c r="F142" s="192" t="str" cm="1">
        <f t="array" ref="F142">Common_InputFunctions.Utility_DisplayArrayInTable(Fertiliser_SourceData.Fertiliser_Products_Data2(), FertiliserProducts[[#Headers],[Company]],31)</f>
        <v>kg</v>
      </c>
      <c r="G142" s="192" cm="1">
        <f t="array" ref="G142">Common_InputFunctions.Utility_DisplayArrayInTable(Fertiliser_SourceData.Fertiliser_Products_Data2(), FertiliserProducts[[#Headers],[Company]],31)</f>
        <v>1</v>
      </c>
      <c r="H142" s="192" t="str" cm="1">
        <f t="array" ref="H142">Common_InputFunctions.Utility_DisplayArrayInTable(Fertiliser_SourceData.Fertiliser_Products_Data2(), FertiliserProducts[[#Headers],[Company]],31)</f>
        <v/>
      </c>
      <c r="I142" s="192" t="str" cm="1">
        <f t="array" ref="I142">Common_InputFunctions.Utility_DisplayArrayInTable(Fertiliser_SourceData.Fertiliser_Products_Data2(), FertiliserProducts[[#Headers],[Company]],31)</f>
        <v/>
      </c>
      <c r="J142" s="192" t="str" cm="1">
        <f t="array" ref="J142">Common_InputFunctions.Utility_DisplayArrayInTable(Fertiliser_SourceData.Fertiliser_Products_Data2(), FertiliserProducts[[#Headers],[Company]],31)</f>
        <v/>
      </c>
      <c r="K142" s="192" cm="1">
        <f t="array" ref="K142">Common_InputFunctions.Utility_DisplayArrayInTable(Fertiliser_SourceData.Fertiliser_Products_Data2(), FertiliserProducts[[#Headers],[Company]],31)</f>
        <v>12</v>
      </c>
      <c r="L142" s="192" cm="1">
        <f t="array" ref="L142">Common_InputFunctions.Utility_DisplayArrayInTable(Fertiliser_SourceData.Fertiliser_Products_Data2(), FertiliserProducts[[#Headers],[Company]],31)</f>
        <v>5</v>
      </c>
      <c r="M142" s="192" cm="1">
        <f t="array" ref="M142">Common_InputFunctions.Utility_DisplayArrayInTable(Fertiliser_SourceData.Fertiliser_Products_Data2(), FertiliserProducts[[#Headers],[Company]],31)</f>
        <v>15</v>
      </c>
      <c r="N142" s="192" cm="1">
        <f t="array" ref="N142">Common_InputFunctions.Utility_DisplayArrayInTable(Fertiliser_SourceData.Fertiliser_Products_Data2(), FertiliserProducts[[#Headers],[Company]],31)</f>
        <v>8</v>
      </c>
      <c r="O142" s="192" t="str" cm="1">
        <f t="array" ref="O142">Common_InputFunctions.Utility_DisplayArrayInTable(Fertiliser_SourceData.Fertiliser_Products_Data2(), FertiliserProducts[[#Headers],[Company]],31)</f>
        <v>Nitrogen - Nitrate</v>
      </c>
      <c r="P142" s="192" cm="1">
        <f t="array" ref="P142">Common_InputFunctions.Utility_DisplayArrayInTable(Fertiliser_SourceData.Fertiliser_Products_Data2(), FertiliserProducts[[#Headers],[Company]],31)</f>
        <v>0.05</v>
      </c>
      <c r="Q142" s="192" t="str" cm="1">
        <f t="array" ref="Q142">Common_InputFunctions.Utility_DisplayArrayInTable(Fertiliser_SourceData.Fertiliser_Products_Data2(), FertiliserProducts[[#Headers],[Company]],31)</f>
        <v>Nitrogen - Ammoniacal</v>
      </c>
      <c r="R142" s="192" cm="1">
        <f t="array" ref="R142">Common_InputFunctions.Utility_DisplayArrayInTable(Fertiliser_SourceData.Fertiliser_Products_Data2(), FertiliserProducts[[#Headers],[Company]],31)</f>
        <v>7.0000000000000007E-2</v>
      </c>
      <c r="S142" s="192" t="str" cm="1">
        <f t="array" ref="S142">Common_InputFunctions.Utility_DisplayArrayInTable(Fertiliser_SourceData.Fertiliser_Products_Data2(), FertiliserProducts[[#Headers],[Company]],31)</f>
        <v>Phosphorus - Generic</v>
      </c>
      <c r="T142" s="192" cm="1">
        <f t="array" ref="T142">Common_InputFunctions.Utility_DisplayArrayInTable(Fertiliser_SourceData.Fertiliser_Products_Data2(), FertiliserProducts[[#Headers],[Company]],31)</f>
        <v>0.05</v>
      </c>
      <c r="U142" s="192" t="str" cm="1">
        <f t="array" ref="U142">Common_InputFunctions.Utility_DisplayArrayInTable(Fertiliser_SourceData.Fertiliser_Products_Data2(), FertiliserProducts[[#Headers],[Company]],31)</f>
        <v>Potassium - Generic</v>
      </c>
      <c r="V142" s="192" cm="1">
        <f t="array" ref="V142">Common_InputFunctions.Utility_DisplayArrayInTable(Fertiliser_SourceData.Fertiliser_Products_Data2(), FertiliserProducts[[#Headers],[Company]],31)</f>
        <v>0.15</v>
      </c>
      <c r="W142" s="192" t="str" cm="1">
        <f t="array" ref="W142">Common_InputFunctions.Utility_DisplayArrayInTable(Fertiliser_SourceData.Fertiliser_Products_Data2(), FertiliserProducts[[#Headers],[Company]],31)</f>
        <v>Sulfur - Generic</v>
      </c>
      <c r="X142" s="192" cm="1">
        <f t="array" ref="X142">Common_InputFunctions.Utility_DisplayArrayInTable(Fertiliser_SourceData.Fertiliser_Products_Data2(), FertiliserProducts[[#Headers],[Company]],31)</f>
        <v>0.08</v>
      </c>
      <c r="Y142" s="192" t="str" cm="1">
        <f t="array" ref="Y142">Common_InputFunctions.Utility_DisplayArrayInTable(Fertiliser_SourceData.Fertiliser_Products_Data2(), FertiliserProducts[[#Headers],[Company]],31)</f>
        <v>Magnesium</v>
      </c>
      <c r="Z142" s="192" cm="1">
        <f t="array" ref="Z142">Common_InputFunctions.Utility_DisplayArrayInTable(Fertiliser_SourceData.Fertiliser_Products_Data2(), FertiliserProducts[[#Headers],[Company]],31)</f>
        <v>1.6E-2</v>
      </c>
      <c r="AA142" s="192" t="str" cm="1">
        <f t="array" ref="AA142">Common_InputFunctions.Utility_DisplayArrayInTable(Fertiliser_SourceData.Fertiliser_Products_Data2(), FertiliserProducts[[#Headers],[Company]],31)</f>
        <v>Zinc</v>
      </c>
      <c r="AB142" s="192" cm="1">
        <f t="array" ref="AB142">Common_InputFunctions.Utility_DisplayArrayInTable(Fertiliser_SourceData.Fertiliser_Products_Data2(), FertiliserProducts[[#Headers],[Company]],31)</f>
        <v>2.0000000000000001E-4</v>
      </c>
      <c r="AC142" s="192" t="str" cm="1">
        <f t="array" ref="AC142">Common_InputFunctions.Utility_DisplayArrayInTable(Fertiliser_SourceData.Fertiliser_Products_Data2(), FertiliserProducts[[#Headers],[Company]],31)</f>
        <v>Boron</v>
      </c>
      <c r="AD142" s="192" cm="1">
        <f t="array" ref="AD142">Common_InputFunctions.Utility_DisplayArrayInTable(Fertiliser_SourceData.Fertiliser_Products_Data2(), FertiliserProducts[[#Headers],[Company]],31)</f>
        <v>1.4999999999999999E-4</v>
      </c>
      <c r="AE142" s="192" t="str" cm="1">
        <f t="array" ref="AE142">Common_InputFunctions.Utility_DisplayArrayInTable(Fertiliser_SourceData.Fertiliser_Products_Data2(), FertiliserProducts[[#Headers],[Company]],31)</f>
        <v/>
      </c>
      <c r="AF142" s="192" t="str" cm="1">
        <f t="array" ref="AF142">Common_InputFunctions.Utility_DisplayArrayInTable(Fertiliser_SourceData.Fertiliser_Products_Data2(), FertiliserProducts[[#Headers],[Company]],31)</f>
        <v/>
      </c>
      <c r="AG142" s="192" t="str" cm="1">
        <f t="array" ref="AG142">Common_InputFunctions.Utility_DisplayArrayInTable(Fertiliser_SourceData.Fertiliser_Products_Data2(), FertiliserProducts[[#Headers],[Company]],31)</f>
        <v/>
      </c>
      <c r="AH142" s="192" t="str" cm="1">
        <f t="array" ref="AH142">Common_InputFunctions.Utility_DisplayArrayInTable(Fertiliser_SourceData.Fertiliser_Products_Data2(), FertiliserProducts[[#Headers],[Company]],31)</f>
        <v/>
      </c>
      <c r="AK142" s="1"/>
      <c r="AL142" s="1"/>
      <c r="AM142" s="1"/>
    </row>
    <row r="143" spans="4:39" ht="20.100000000000001" customHeight="1" x14ac:dyDescent="0.25">
      <c r="D143" s="192" t="str" cm="1">
        <f t="array" ref="D143">Common_InputFunctions.Utility_DisplayArrayInTable(Fertiliser_SourceData.Fertiliser_Products_Data2(), FertiliserProducts[[#Headers],[Company]],31)</f>
        <v>Yara Australia</v>
      </c>
      <c r="E143" s="192" t="str" cm="1">
        <f t="array" ref="E143">Common_InputFunctions.Utility_DisplayArrayInTable(Fertiliser_SourceData.Fertiliser_Products_Data2(), FertiliserProducts[[#Headers],[Company]],31)</f>
        <v>YaraRega 9-0-30 (14)</v>
      </c>
      <c r="F143" s="192" t="str" cm="1">
        <f t="array" ref="F143">Common_InputFunctions.Utility_DisplayArrayInTable(Fertiliser_SourceData.Fertiliser_Products_Data2(), FertiliserProducts[[#Headers],[Company]],31)</f>
        <v>kg</v>
      </c>
      <c r="G143" s="192" cm="1">
        <f t="array" ref="G143">Common_InputFunctions.Utility_DisplayArrayInTable(Fertiliser_SourceData.Fertiliser_Products_Data2(), FertiliserProducts[[#Headers],[Company]],31)</f>
        <v>1</v>
      </c>
      <c r="H143" s="192" t="str" cm="1">
        <f t="array" ref="H143">Common_InputFunctions.Utility_DisplayArrayInTable(Fertiliser_SourceData.Fertiliser_Products_Data2(), FertiliserProducts[[#Headers],[Company]],31)</f>
        <v/>
      </c>
      <c r="I143" s="192" t="str" cm="1">
        <f t="array" ref="I143">Common_InputFunctions.Utility_DisplayArrayInTable(Fertiliser_SourceData.Fertiliser_Products_Data2(), FertiliserProducts[[#Headers],[Company]],31)</f>
        <v/>
      </c>
      <c r="J143" s="192" t="str" cm="1">
        <f t="array" ref="J143">Common_InputFunctions.Utility_DisplayArrayInTable(Fertiliser_SourceData.Fertiliser_Products_Data2(), FertiliserProducts[[#Headers],[Company]],31)</f>
        <v/>
      </c>
      <c r="K143" s="192" cm="1">
        <f t="array" ref="K143">Common_InputFunctions.Utility_DisplayArrayInTable(Fertiliser_SourceData.Fertiliser_Products_Data2(), FertiliserProducts[[#Headers],[Company]],31)</f>
        <v>9</v>
      </c>
      <c r="L143" s="192" t="str" cm="1">
        <f t="array" ref="L143">Common_InputFunctions.Utility_DisplayArrayInTable(Fertiliser_SourceData.Fertiliser_Products_Data2(), FertiliserProducts[[#Headers],[Company]],31)</f>
        <v/>
      </c>
      <c r="M143" s="192" cm="1">
        <f t="array" ref="M143">Common_InputFunctions.Utility_DisplayArrayInTable(Fertiliser_SourceData.Fertiliser_Products_Data2(), FertiliserProducts[[#Headers],[Company]],31)</f>
        <v>30</v>
      </c>
      <c r="N143" s="192" cm="1">
        <f t="array" ref="N143">Common_InputFunctions.Utility_DisplayArrayInTable(Fertiliser_SourceData.Fertiliser_Products_Data2(), FertiliserProducts[[#Headers],[Company]],31)</f>
        <v>14</v>
      </c>
      <c r="O143" s="192" t="str" cm="1">
        <f t="array" ref="O143">Common_InputFunctions.Utility_DisplayArrayInTable(Fertiliser_SourceData.Fertiliser_Products_Data2(), FertiliserProducts[[#Headers],[Company]],31)</f>
        <v>Potassium - Generic</v>
      </c>
      <c r="P143" s="192" cm="1">
        <f t="array" ref="P143">Common_InputFunctions.Utility_DisplayArrayInTable(Fertiliser_SourceData.Fertiliser_Products_Data2(), FertiliserProducts[[#Headers],[Company]],31)</f>
        <v>0.3</v>
      </c>
      <c r="Q143" s="192" t="str" cm="1">
        <f t="array" ref="Q143">Common_InputFunctions.Utility_DisplayArrayInTable(Fertiliser_SourceData.Fertiliser_Products_Data2(), FertiliserProducts[[#Headers],[Company]],31)</f>
        <v>Sulfur - Generic</v>
      </c>
      <c r="R143" s="192" cm="1">
        <f t="array" ref="R143">Common_InputFunctions.Utility_DisplayArrayInTable(Fertiliser_SourceData.Fertiliser_Products_Data2(), FertiliserProducts[[#Headers],[Company]],31)</f>
        <v>0.14000000000000001</v>
      </c>
      <c r="S143" s="192" t="str" cm="1">
        <f t="array" ref="S143">Common_InputFunctions.Utility_DisplayArrayInTable(Fertiliser_SourceData.Fertiliser_Products_Data2(), FertiliserProducts[[#Headers],[Company]],31)</f>
        <v>Nitrogen - Nitrate</v>
      </c>
      <c r="T143" s="192" cm="1">
        <f t="array" ref="T143">Common_InputFunctions.Utility_DisplayArrayInTable(Fertiliser_SourceData.Fertiliser_Products_Data2(), FertiliserProducts[[#Headers],[Company]],31)</f>
        <v>4.4999999999999998E-2</v>
      </c>
      <c r="U143" s="192" t="str" cm="1">
        <f t="array" ref="U143">Common_InputFunctions.Utility_DisplayArrayInTable(Fertiliser_SourceData.Fertiliser_Products_Data2(), FertiliserProducts[[#Headers],[Company]],31)</f>
        <v>Nitrogen - Ammoniacal</v>
      </c>
      <c r="V143" s="192" cm="1">
        <f t="array" ref="V143">Common_InputFunctions.Utility_DisplayArrayInTable(Fertiliser_SourceData.Fertiliser_Products_Data2(), FertiliserProducts[[#Headers],[Company]],31)</f>
        <v>4.4999999999999998E-2</v>
      </c>
      <c r="W143" s="192" t="str" cm="1">
        <f t="array" ref="W143">Common_InputFunctions.Utility_DisplayArrayInTable(Fertiliser_SourceData.Fertiliser_Products_Data2(), FertiliserProducts[[#Headers],[Company]],31)</f>
        <v/>
      </c>
      <c r="X143" s="192" t="str" cm="1">
        <f t="array" ref="X143">Common_InputFunctions.Utility_DisplayArrayInTable(Fertiliser_SourceData.Fertiliser_Products_Data2(), FertiliserProducts[[#Headers],[Company]],31)</f>
        <v/>
      </c>
      <c r="Y143" s="192" t="str" cm="1">
        <f t="array" ref="Y143">Common_InputFunctions.Utility_DisplayArrayInTable(Fertiliser_SourceData.Fertiliser_Products_Data2(), FertiliserProducts[[#Headers],[Company]],31)</f>
        <v/>
      </c>
      <c r="Z143" s="192" t="str" cm="1">
        <f t="array" ref="Z143">Common_InputFunctions.Utility_DisplayArrayInTable(Fertiliser_SourceData.Fertiliser_Products_Data2(), FertiliserProducts[[#Headers],[Company]],31)</f>
        <v/>
      </c>
      <c r="AA143" s="192" t="str" cm="1">
        <f t="array" ref="AA143">Common_InputFunctions.Utility_DisplayArrayInTable(Fertiliser_SourceData.Fertiliser_Products_Data2(), FertiliserProducts[[#Headers],[Company]],31)</f>
        <v/>
      </c>
      <c r="AB143" s="192" t="str" cm="1">
        <f t="array" ref="AB143">Common_InputFunctions.Utility_DisplayArrayInTable(Fertiliser_SourceData.Fertiliser_Products_Data2(), FertiliserProducts[[#Headers],[Company]],31)</f>
        <v/>
      </c>
      <c r="AC143" s="192" t="str" cm="1">
        <f t="array" ref="AC143">Common_InputFunctions.Utility_DisplayArrayInTable(Fertiliser_SourceData.Fertiliser_Products_Data2(), FertiliserProducts[[#Headers],[Company]],31)</f>
        <v/>
      </c>
      <c r="AD143" s="192" t="str" cm="1">
        <f t="array" ref="AD143">Common_InputFunctions.Utility_DisplayArrayInTable(Fertiliser_SourceData.Fertiliser_Products_Data2(), FertiliserProducts[[#Headers],[Company]],31)</f>
        <v/>
      </c>
      <c r="AE143" s="192" t="str" cm="1">
        <f t="array" ref="AE143">Common_InputFunctions.Utility_DisplayArrayInTable(Fertiliser_SourceData.Fertiliser_Products_Data2(), FertiliserProducts[[#Headers],[Company]],31)</f>
        <v/>
      </c>
      <c r="AF143" s="192" t="str" cm="1">
        <f t="array" ref="AF143">Common_InputFunctions.Utility_DisplayArrayInTable(Fertiliser_SourceData.Fertiliser_Products_Data2(), FertiliserProducts[[#Headers],[Company]],31)</f>
        <v/>
      </c>
      <c r="AG143" s="192" t="str" cm="1">
        <f t="array" ref="AG143">Common_InputFunctions.Utility_DisplayArrayInTable(Fertiliser_SourceData.Fertiliser_Products_Data2(), FertiliserProducts[[#Headers],[Company]],31)</f>
        <v/>
      </c>
      <c r="AH143" s="192" t="str" cm="1">
        <f t="array" ref="AH143">Common_InputFunctions.Utility_DisplayArrayInTable(Fertiliser_SourceData.Fertiliser_Products_Data2(), FertiliserProducts[[#Headers],[Company]],31)</f>
        <v/>
      </c>
      <c r="AK143" s="1"/>
      <c r="AL143" s="1"/>
      <c r="AM143" s="1"/>
    </row>
    <row r="144" spans="4:39" ht="20.100000000000001" customHeight="1" x14ac:dyDescent="0.25">
      <c r="D144" s="192" t="str" cm="1">
        <f t="array" ref="D144">Common_InputFunctions.Utility_DisplayArrayInTable(Fertiliser_SourceData.Fertiliser_Products_Data2(), FertiliserProducts[[#Headers],[Company]],31)</f>
        <v>Yara Australia</v>
      </c>
      <c r="E144" s="192" t="str" cm="1">
        <f t="array" ref="E144">Common_InputFunctions.Utility_DisplayArrayInTable(Fertiliser_SourceData.Fertiliser_Products_Data2(), FertiliserProducts[[#Headers],[Company]],31)</f>
        <v>YaraRega 13-2-21</v>
      </c>
      <c r="F144" s="192" t="str" cm="1">
        <f t="array" ref="F144">Common_InputFunctions.Utility_DisplayArrayInTable(Fertiliser_SourceData.Fertiliser_Products_Data2(), FertiliserProducts[[#Headers],[Company]],31)</f>
        <v>kg</v>
      </c>
      <c r="G144" s="192" cm="1">
        <f t="array" ref="G144">Common_InputFunctions.Utility_DisplayArrayInTable(Fertiliser_SourceData.Fertiliser_Products_Data2(), FertiliserProducts[[#Headers],[Company]],31)</f>
        <v>1</v>
      </c>
      <c r="H144" s="192" t="str" cm="1">
        <f t="array" ref="H144">Common_InputFunctions.Utility_DisplayArrayInTable(Fertiliser_SourceData.Fertiliser_Products_Data2(), FertiliserProducts[[#Headers],[Company]],31)</f>
        <v/>
      </c>
      <c r="I144" s="192" t="str" cm="1">
        <f t="array" ref="I144">Common_InputFunctions.Utility_DisplayArrayInTable(Fertiliser_SourceData.Fertiliser_Products_Data2(), FertiliserProducts[[#Headers],[Company]],31)</f>
        <v/>
      </c>
      <c r="J144" s="192" t="str" cm="1">
        <f t="array" ref="J144">Common_InputFunctions.Utility_DisplayArrayInTable(Fertiliser_SourceData.Fertiliser_Products_Data2(), FertiliserProducts[[#Headers],[Company]],31)</f>
        <v/>
      </c>
      <c r="K144" s="192" cm="1">
        <f t="array" ref="K144">Common_InputFunctions.Utility_DisplayArrayInTable(Fertiliser_SourceData.Fertiliser_Products_Data2(), FertiliserProducts[[#Headers],[Company]],31)</f>
        <v>13</v>
      </c>
      <c r="L144" s="192" cm="1">
        <f t="array" ref="L144">Common_InputFunctions.Utility_DisplayArrayInTable(Fertiliser_SourceData.Fertiliser_Products_Data2(), FertiliserProducts[[#Headers],[Company]],31)</f>
        <v>1.75</v>
      </c>
      <c r="M144" s="192" cm="1">
        <f t="array" ref="M144">Common_InputFunctions.Utility_DisplayArrayInTable(Fertiliser_SourceData.Fertiliser_Products_Data2(), FertiliserProducts[[#Headers],[Company]],31)</f>
        <v>21</v>
      </c>
      <c r="N144" s="192" cm="1">
        <f t="array" ref="N144">Common_InputFunctions.Utility_DisplayArrayInTable(Fertiliser_SourceData.Fertiliser_Products_Data2(), FertiliserProducts[[#Headers],[Company]],31)</f>
        <v>10.8</v>
      </c>
      <c r="O144" s="192" t="str" cm="1">
        <f t="array" ref="O144">Common_InputFunctions.Utility_DisplayArrayInTable(Fertiliser_SourceData.Fertiliser_Products_Data2(), FertiliserProducts[[#Headers],[Company]],31)</f>
        <v>Potassium - Generic</v>
      </c>
      <c r="P144" s="192" cm="1">
        <f t="array" ref="P144">Common_InputFunctions.Utility_DisplayArrayInTable(Fertiliser_SourceData.Fertiliser_Products_Data2(), FertiliserProducts[[#Headers],[Company]],31)</f>
        <v>0.21</v>
      </c>
      <c r="Q144" s="192" t="str" cm="1">
        <f t="array" ref="Q144">Common_InputFunctions.Utility_DisplayArrayInTable(Fertiliser_SourceData.Fertiliser_Products_Data2(), FertiliserProducts[[#Headers],[Company]],31)</f>
        <v>Sulfur - Generic</v>
      </c>
      <c r="R144" s="192" cm="1">
        <f t="array" ref="R144">Common_InputFunctions.Utility_DisplayArrayInTable(Fertiliser_SourceData.Fertiliser_Products_Data2(), FertiliserProducts[[#Headers],[Company]],31)</f>
        <v>0.108</v>
      </c>
      <c r="S144" s="192" t="str" cm="1">
        <f t="array" ref="S144">Common_InputFunctions.Utility_DisplayArrayInTable(Fertiliser_SourceData.Fertiliser_Products_Data2(), FertiliserProducts[[#Headers],[Company]],31)</f>
        <v>Nitrogen - Ammoniacal</v>
      </c>
      <c r="T144" s="192" cm="1">
        <f t="array" ref="T144">Common_InputFunctions.Utility_DisplayArrayInTable(Fertiliser_SourceData.Fertiliser_Products_Data2(), FertiliserProducts[[#Headers],[Company]],31)</f>
        <v>7.6999999999999999E-2</v>
      </c>
      <c r="U144" s="192" t="str" cm="1">
        <f t="array" ref="U144">Common_InputFunctions.Utility_DisplayArrayInTable(Fertiliser_SourceData.Fertiliser_Products_Data2(), FertiliserProducts[[#Headers],[Company]],31)</f>
        <v>Nitrogen - Nitrate</v>
      </c>
      <c r="V144" s="192" cm="1">
        <f t="array" ref="V144">Common_InputFunctions.Utility_DisplayArrayInTable(Fertiliser_SourceData.Fertiliser_Products_Data2(), FertiliserProducts[[#Headers],[Company]],31)</f>
        <v>5.2999999999999999E-2</v>
      </c>
      <c r="W144" s="192" t="str" cm="1">
        <f t="array" ref="W144">Common_InputFunctions.Utility_DisplayArrayInTable(Fertiliser_SourceData.Fertiliser_Products_Data2(), FertiliserProducts[[#Headers],[Company]],31)</f>
        <v>Phosphorus - Generic</v>
      </c>
      <c r="X144" s="192" cm="1">
        <f t="array" ref="X144">Common_InputFunctions.Utility_DisplayArrayInTable(Fertiliser_SourceData.Fertiliser_Products_Data2(), FertiliserProducts[[#Headers],[Company]],31)</f>
        <v>1.7500000000000002E-2</v>
      </c>
      <c r="Y144" s="192" t="str" cm="1">
        <f t="array" ref="Y144">Common_InputFunctions.Utility_DisplayArrayInTable(Fertiliser_SourceData.Fertiliser_Products_Data2(), FertiliserProducts[[#Headers],[Company]],31)</f>
        <v>Magnesium</v>
      </c>
      <c r="Z144" s="192" cm="1">
        <f t="array" ref="Z144">Common_InputFunctions.Utility_DisplayArrayInTable(Fertiliser_SourceData.Fertiliser_Products_Data2(), FertiliserProducts[[#Headers],[Company]],31)</f>
        <v>4.0000000000000001E-3</v>
      </c>
      <c r="AA144" s="192" t="str" cm="1">
        <f t="array" ref="AA144">Common_InputFunctions.Utility_DisplayArrayInTable(Fertiliser_SourceData.Fertiliser_Products_Data2(), FertiliserProducts[[#Headers],[Company]],31)</f>
        <v>Zinc</v>
      </c>
      <c r="AB144" s="192" cm="1">
        <f t="array" ref="AB144">Common_InputFunctions.Utility_DisplayArrayInTable(Fertiliser_SourceData.Fertiliser_Products_Data2(), FertiliserProducts[[#Headers],[Company]],31)</f>
        <v>8.0000000000000004E-4</v>
      </c>
      <c r="AC144" s="192" t="str" cm="1">
        <f t="array" ref="AC144">Common_InputFunctions.Utility_DisplayArrayInTable(Fertiliser_SourceData.Fertiliser_Products_Data2(), FertiliserProducts[[#Headers],[Company]],31)</f>
        <v>Boron</v>
      </c>
      <c r="AD144" s="192" cm="1">
        <f t="array" ref="AD144">Common_InputFunctions.Utility_DisplayArrayInTable(Fertiliser_SourceData.Fertiliser_Products_Data2(), FertiliserProducts[[#Headers],[Company]],31)</f>
        <v>8.0000000000000004E-4</v>
      </c>
      <c r="AE144" s="192" t="str" cm="1">
        <f t="array" ref="AE144">Common_InputFunctions.Utility_DisplayArrayInTable(Fertiliser_SourceData.Fertiliser_Products_Data2(), FertiliserProducts[[#Headers],[Company]],31)</f>
        <v/>
      </c>
      <c r="AF144" s="192" t="str" cm="1">
        <f t="array" ref="AF144">Common_InputFunctions.Utility_DisplayArrayInTable(Fertiliser_SourceData.Fertiliser_Products_Data2(), FertiliserProducts[[#Headers],[Company]],31)</f>
        <v/>
      </c>
      <c r="AG144" s="192" t="str" cm="1">
        <f t="array" ref="AG144">Common_InputFunctions.Utility_DisplayArrayInTable(Fertiliser_SourceData.Fertiliser_Products_Data2(), FertiliserProducts[[#Headers],[Company]],31)</f>
        <v/>
      </c>
      <c r="AH144" s="192" t="str" cm="1">
        <f t="array" ref="AH144">Common_InputFunctions.Utility_DisplayArrayInTable(Fertiliser_SourceData.Fertiliser_Products_Data2(), FertiliserProducts[[#Headers],[Company]],31)</f>
        <v/>
      </c>
      <c r="AK144" s="1"/>
      <c r="AL144" s="1"/>
      <c r="AM144" s="1"/>
    </row>
    <row r="145" spans="4:39" ht="20.100000000000001" customHeight="1" x14ac:dyDescent="0.25">
      <c r="D145" s="192" t="str" cm="1">
        <f t="array" ref="D145">Common_InputFunctions.Utility_DisplayArrayInTable(Fertiliser_SourceData.Fertiliser_Products_Data2(), FertiliserProducts[[#Headers],[Company]],31)</f>
        <v>Yara Australia</v>
      </c>
      <c r="E145" s="192" t="str" cm="1">
        <f t="array" ref="E145">Common_InputFunctions.Utility_DisplayArrayInTable(Fertiliser_SourceData.Fertiliser_Products_Data2(), FertiliserProducts[[#Headers],[Company]],31)</f>
        <v>YaraRega 15-7-13 (7S)</v>
      </c>
      <c r="F145" s="192" t="str" cm="1">
        <f t="array" ref="F145">Common_InputFunctions.Utility_DisplayArrayInTable(Fertiliser_SourceData.Fertiliser_Products_Data2(), FertiliserProducts[[#Headers],[Company]],31)</f>
        <v>kg</v>
      </c>
      <c r="G145" s="192" cm="1">
        <f t="array" ref="G145">Common_InputFunctions.Utility_DisplayArrayInTable(Fertiliser_SourceData.Fertiliser_Products_Data2(), FertiliserProducts[[#Headers],[Company]],31)</f>
        <v>1</v>
      </c>
      <c r="H145" s="192" t="str" cm="1">
        <f t="array" ref="H145">Common_InputFunctions.Utility_DisplayArrayInTable(Fertiliser_SourceData.Fertiliser_Products_Data2(), FertiliserProducts[[#Headers],[Company]],31)</f>
        <v/>
      </c>
      <c r="I145" s="192" t="str" cm="1">
        <f t="array" ref="I145">Common_InputFunctions.Utility_DisplayArrayInTable(Fertiliser_SourceData.Fertiliser_Products_Data2(), FertiliserProducts[[#Headers],[Company]],31)</f>
        <v/>
      </c>
      <c r="J145" s="192" t="str" cm="1">
        <f t="array" ref="J145">Common_InputFunctions.Utility_DisplayArrayInTable(Fertiliser_SourceData.Fertiliser_Products_Data2(), FertiliserProducts[[#Headers],[Company]],31)</f>
        <v/>
      </c>
      <c r="K145" s="192" cm="1">
        <f t="array" ref="K145">Common_InputFunctions.Utility_DisplayArrayInTable(Fertiliser_SourceData.Fertiliser_Products_Data2(), FertiliserProducts[[#Headers],[Company]],31)</f>
        <v>15</v>
      </c>
      <c r="L145" s="192" cm="1">
        <f t="array" ref="L145">Common_InputFunctions.Utility_DisplayArrayInTable(Fertiliser_SourceData.Fertiliser_Products_Data2(), FertiliserProducts[[#Headers],[Company]],31)</f>
        <v>6.5</v>
      </c>
      <c r="M145" s="192" cm="1">
        <f t="array" ref="M145">Common_InputFunctions.Utility_DisplayArrayInTable(Fertiliser_SourceData.Fertiliser_Products_Data2(), FertiliserProducts[[#Headers],[Company]],31)</f>
        <v>12.5</v>
      </c>
      <c r="N145" s="192" cm="1">
        <f t="array" ref="N145">Common_InputFunctions.Utility_DisplayArrayInTable(Fertiliser_SourceData.Fertiliser_Products_Data2(), FertiliserProducts[[#Headers],[Company]],31)</f>
        <v>7.2</v>
      </c>
      <c r="O145" s="192" t="str" cm="1">
        <f t="array" ref="O145">Common_InputFunctions.Utility_DisplayArrayInTable(Fertiliser_SourceData.Fertiliser_Products_Data2(), FertiliserProducts[[#Headers],[Company]],31)</f>
        <v>Nitrogen - Nitrate</v>
      </c>
      <c r="P145" s="192" cm="1">
        <f t="array" ref="P145">Common_InputFunctions.Utility_DisplayArrayInTable(Fertiliser_SourceData.Fertiliser_Products_Data2(), FertiliserProducts[[#Headers],[Company]],31)</f>
        <v>9.5000000000000001E-2</v>
      </c>
      <c r="Q145" s="192" t="str" cm="1">
        <f t="array" ref="Q145">Common_InputFunctions.Utility_DisplayArrayInTable(Fertiliser_SourceData.Fertiliser_Products_Data2(), FertiliserProducts[[#Headers],[Company]],31)</f>
        <v>Potassium - Generic</v>
      </c>
      <c r="R145" s="192" cm="1">
        <f t="array" ref="R145">Common_InputFunctions.Utility_DisplayArrayInTable(Fertiliser_SourceData.Fertiliser_Products_Data2(), FertiliserProducts[[#Headers],[Company]],31)</f>
        <v>0.125</v>
      </c>
      <c r="S145" s="192" t="str" cm="1">
        <f t="array" ref="S145">Common_InputFunctions.Utility_DisplayArrayInTable(Fertiliser_SourceData.Fertiliser_Products_Data2(), FertiliserProducts[[#Headers],[Company]],31)</f>
        <v>Sulfur - Generic</v>
      </c>
      <c r="T145" s="192" cm="1">
        <f t="array" ref="T145">Common_InputFunctions.Utility_DisplayArrayInTable(Fertiliser_SourceData.Fertiliser_Products_Data2(), FertiliserProducts[[#Headers],[Company]],31)</f>
        <v>7.1999999999999995E-2</v>
      </c>
      <c r="U145" s="192" t="str" cm="1">
        <f t="array" ref="U145">Common_InputFunctions.Utility_DisplayArrayInTable(Fertiliser_SourceData.Fertiliser_Products_Data2(), FertiliserProducts[[#Headers],[Company]],31)</f>
        <v>Phosphorus - Generic</v>
      </c>
      <c r="V145" s="192" cm="1">
        <f t="array" ref="V145">Common_InputFunctions.Utility_DisplayArrayInTable(Fertiliser_SourceData.Fertiliser_Products_Data2(), FertiliserProducts[[#Headers],[Company]],31)</f>
        <v>6.5000000000000002E-2</v>
      </c>
      <c r="W145" s="192" t="str" cm="1">
        <f t="array" ref="W145">Common_InputFunctions.Utility_DisplayArrayInTable(Fertiliser_SourceData.Fertiliser_Products_Data2(), FertiliserProducts[[#Headers],[Company]],31)</f>
        <v>Nitrogen - Ammoniacal</v>
      </c>
      <c r="X145" s="192" cm="1">
        <f t="array" ref="X145">Common_InputFunctions.Utility_DisplayArrayInTable(Fertiliser_SourceData.Fertiliser_Products_Data2(), FertiliserProducts[[#Headers],[Company]],31)</f>
        <v>5.5E-2</v>
      </c>
      <c r="Y145" s="192" t="str" cm="1">
        <f t="array" ref="Y145">Common_InputFunctions.Utility_DisplayArrayInTable(Fertiliser_SourceData.Fertiliser_Products_Data2(), FertiliserProducts[[#Headers],[Company]],31)</f>
        <v>Magnesium</v>
      </c>
      <c r="Z145" s="192" cm="1">
        <f t="array" ref="Z145">Common_InputFunctions.Utility_DisplayArrayInTable(Fertiliser_SourceData.Fertiliser_Products_Data2(), FertiliserProducts[[#Headers],[Company]],31)</f>
        <v>6.6E-3</v>
      </c>
      <c r="AA145" s="192" t="str" cm="1">
        <f t="array" ref="AA145">Common_InputFunctions.Utility_DisplayArrayInTable(Fertiliser_SourceData.Fertiliser_Products_Data2(), FertiliserProducts[[#Headers],[Company]],31)</f>
        <v>Boron</v>
      </c>
      <c r="AB145" s="192" cm="1">
        <f t="array" ref="AB145">Common_InputFunctions.Utility_DisplayArrayInTable(Fertiliser_SourceData.Fertiliser_Products_Data2(), FertiliserProducts[[#Headers],[Company]],31)</f>
        <v>1E-3</v>
      </c>
      <c r="AC145" s="192" t="str" cm="1">
        <f t="array" ref="AC145">Common_InputFunctions.Utility_DisplayArrayInTable(Fertiliser_SourceData.Fertiliser_Products_Data2(), FertiliserProducts[[#Headers],[Company]],31)</f>
        <v>Zinc</v>
      </c>
      <c r="AD145" s="192" cm="1">
        <f t="array" ref="AD145">Common_InputFunctions.Utility_DisplayArrayInTable(Fertiliser_SourceData.Fertiliser_Products_Data2(), FertiliserProducts[[#Headers],[Company]],31)</f>
        <v>5.9999999999999995E-4</v>
      </c>
      <c r="AE145" s="192" t="str" cm="1">
        <f t="array" ref="AE145">Common_InputFunctions.Utility_DisplayArrayInTable(Fertiliser_SourceData.Fertiliser_Products_Data2(), FertiliserProducts[[#Headers],[Company]],31)</f>
        <v/>
      </c>
      <c r="AF145" s="192" t="str" cm="1">
        <f t="array" ref="AF145">Common_InputFunctions.Utility_DisplayArrayInTable(Fertiliser_SourceData.Fertiliser_Products_Data2(), FertiliserProducts[[#Headers],[Company]],31)</f>
        <v/>
      </c>
      <c r="AG145" s="192" t="str" cm="1">
        <f t="array" ref="AG145">Common_InputFunctions.Utility_DisplayArrayInTable(Fertiliser_SourceData.Fertiliser_Products_Data2(), FertiliserProducts[[#Headers],[Company]],31)</f>
        <v/>
      </c>
      <c r="AH145" s="192" t="str" cm="1">
        <f t="array" ref="AH145">Common_InputFunctions.Utility_DisplayArrayInTable(Fertiliser_SourceData.Fertiliser_Products_Data2(), FertiliserProducts[[#Headers],[Company]],31)</f>
        <v/>
      </c>
      <c r="AK145" s="1"/>
      <c r="AL145" s="1"/>
      <c r="AM145" s="1"/>
    </row>
    <row r="146" spans="4:39" ht="20.100000000000001" customHeight="1" x14ac:dyDescent="0.25">
      <c r="D146" s="192" t="str" cm="1">
        <f t="array" ref="D146">Common_InputFunctions.Utility_DisplayArrayInTable(Fertiliser_SourceData.Fertiliser_Products_Data2(), FertiliserProducts[[#Headers],[Company]],31)</f>
        <v>Yara Australia</v>
      </c>
      <c r="E146" s="192" t="str" cm="1">
        <f t="array" ref="E146">Common_InputFunctions.Utility_DisplayArrayInTable(Fertiliser_SourceData.Fertiliser_Products_Data2(), FertiliserProducts[[#Headers],[Company]],31)</f>
        <v>YaraTera CALCINIT B</v>
      </c>
      <c r="F146" s="192" t="str" cm="1">
        <f t="array" ref="F146">Common_InputFunctions.Utility_DisplayArrayInTable(Fertiliser_SourceData.Fertiliser_Products_Data2(), FertiliserProducts[[#Headers],[Company]],31)</f>
        <v>kg</v>
      </c>
      <c r="G146" s="192" cm="1">
        <f t="array" ref="G146">Common_InputFunctions.Utility_DisplayArrayInTable(Fertiliser_SourceData.Fertiliser_Products_Data2(), FertiliserProducts[[#Headers],[Company]],31)</f>
        <v>1</v>
      </c>
      <c r="H146" s="192" t="str" cm="1">
        <f t="array" ref="H146">Common_InputFunctions.Utility_DisplayArrayInTable(Fertiliser_SourceData.Fertiliser_Products_Data2(), FertiliserProducts[[#Headers],[Company]],31)</f>
        <v/>
      </c>
      <c r="I146" s="192" t="str" cm="1">
        <f t="array" ref="I146">Common_InputFunctions.Utility_DisplayArrayInTable(Fertiliser_SourceData.Fertiliser_Products_Data2(), FertiliserProducts[[#Headers],[Company]],31)</f>
        <v/>
      </c>
      <c r="J146" s="192" t="str" cm="1">
        <f t="array" ref="J146">Common_InputFunctions.Utility_DisplayArrayInTable(Fertiliser_SourceData.Fertiliser_Products_Data2(), FertiliserProducts[[#Headers],[Company]],31)</f>
        <v/>
      </c>
      <c r="K146" s="192" cm="1">
        <f t="array" ref="K146">Common_InputFunctions.Utility_DisplayArrayInTable(Fertiliser_SourceData.Fertiliser_Products_Data2(), FertiliserProducts[[#Headers],[Company]],31)</f>
        <v>15.5</v>
      </c>
      <c r="L146" s="192" t="str" cm="1">
        <f t="array" ref="L146">Common_InputFunctions.Utility_DisplayArrayInTable(Fertiliser_SourceData.Fertiliser_Products_Data2(), FertiliserProducts[[#Headers],[Company]],31)</f>
        <v/>
      </c>
      <c r="M146" s="192" t="str" cm="1">
        <f t="array" ref="M146">Common_InputFunctions.Utility_DisplayArrayInTable(Fertiliser_SourceData.Fertiliser_Products_Data2(), FertiliserProducts[[#Headers],[Company]],31)</f>
        <v/>
      </c>
      <c r="N146" s="192" t="str" cm="1">
        <f t="array" ref="N146">Common_InputFunctions.Utility_DisplayArrayInTable(Fertiliser_SourceData.Fertiliser_Products_Data2(), FertiliserProducts[[#Headers],[Company]],31)</f>
        <v/>
      </c>
      <c r="O146" s="192" t="str" cm="1">
        <f t="array" ref="O146">Common_InputFunctions.Utility_DisplayArrayInTable(Fertiliser_SourceData.Fertiliser_Products_Data2(), FertiliserProducts[[#Headers],[Company]],31)</f>
        <v>Calcium nitrate</v>
      </c>
      <c r="P146" s="192" cm="1">
        <f t="array" ref="P146">Common_InputFunctions.Utility_DisplayArrayInTable(Fertiliser_SourceData.Fertiliser_Products_Data2(), FertiliserProducts[[#Headers],[Company]],31)</f>
        <v>1</v>
      </c>
      <c r="Q146" s="192" t="str" cm="1">
        <f t="array" ref="Q146">Common_InputFunctions.Utility_DisplayArrayInTable(Fertiliser_SourceData.Fertiliser_Products_Data2(), FertiliserProducts[[#Headers],[Company]],31)</f>
        <v>Boron</v>
      </c>
      <c r="R146" s="192" cm="1">
        <f t="array" ref="R146">Common_InputFunctions.Utility_DisplayArrayInTable(Fertiliser_SourceData.Fertiliser_Products_Data2(), FertiliserProducts[[#Headers],[Company]],31)</f>
        <v>1E-3</v>
      </c>
      <c r="S146" s="192" t="str" cm="1">
        <f t="array" ref="S146">Common_InputFunctions.Utility_DisplayArrayInTable(Fertiliser_SourceData.Fertiliser_Products_Data2(), FertiliserProducts[[#Headers],[Company]],31)</f>
        <v/>
      </c>
      <c r="T146" s="192" t="str" cm="1">
        <f t="array" ref="T146">Common_InputFunctions.Utility_DisplayArrayInTable(Fertiliser_SourceData.Fertiliser_Products_Data2(), FertiliserProducts[[#Headers],[Company]],31)</f>
        <v/>
      </c>
      <c r="U146" s="192" t="str" cm="1">
        <f t="array" ref="U146">Common_InputFunctions.Utility_DisplayArrayInTable(Fertiliser_SourceData.Fertiliser_Products_Data2(), FertiliserProducts[[#Headers],[Company]],31)</f>
        <v/>
      </c>
      <c r="V146" s="192" t="str" cm="1">
        <f t="array" ref="V146">Common_InputFunctions.Utility_DisplayArrayInTable(Fertiliser_SourceData.Fertiliser_Products_Data2(), FertiliserProducts[[#Headers],[Company]],31)</f>
        <v/>
      </c>
      <c r="W146" s="192" t="str" cm="1">
        <f t="array" ref="W146">Common_InputFunctions.Utility_DisplayArrayInTable(Fertiliser_SourceData.Fertiliser_Products_Data2(), FertiliserProducts[[#Headers],[Company]],31)</f>
        <v/>
      </c>
      <c r="X146" s="192" t="str" cm="1">
        <f t="array" ref="X146">Common_InputFunctions.Utility_DisplayArrayInTable(Fertiliser_SourceData.Fertiliser_Products_Data2(), FertiliserProducts[[#Headers],[Company]],31)</f>
        <v/>
      </c>
      <c r="Y146" s="192" t="str" cm="1">
        <f t="array" ref="Y146">Common_InputFunctions.Utility_DisplayArrayInTable(Fertiliser_SourceData.Fertiliser_Products_Data2(), FertiliserProducts[[#Headers],[Company]],31)</f>
        <v/>
      </c>
      <c r="Z146" s="192" t="str" cm="1">
        <f t="array" ref="Z146">Common_InputFunctions.Utility_DisplayArrayInTable(Fertiliser_SourceData.Fertiliser_Products_Data2(), FertiliserProducts[[#Headers],[Company]],31)</f>
        <v/>
      </c>
      <c r="AA146" s="192" t="str" cm="1">
        <f t="array" ref="AA146">Common_InputFunctions.Utility_DisplayArrayInTable(Fertiliser_SourceData.Fertiliser_Products_Data2(), FertiliserProducts[[#Headers],[Company]],31)</f>
        <v/>
      </c>
      <c r="AB146" s="192" t="str" cm="1">
        <f t="array" ref="AB146">Common_InputFunctions.Utility_DisplayArrayInTable(Fertiliser_SourceData.Fertiliser_Products_Data2(), FertiliserProducts[[#Headers],[Company]],31)</f>
        <v/>
      </c>
      <c r="AC146" s="192" t="str" cm="1">
        <f t="array" ref="AC146">Common_InputFunctions.Utility_DisplayArrayInTable(Fertiliser_SourceData.Fertiliser_Products_Data2(), FertiliserProducts[[#Headers],[Company]],31)</f>
        <v/>
      </c>
      <c r="AD146" s="192" t="str" cm="1">
        <f t="array" ref="AD146">Common_InputFunctions.Utility_DisplayArrayInTable(Fertiliser_SourceData.Fertiliser_Products_Data2(), FertiliserProducts[[#Headers],[Company]],31)</f>
        <v/>
      </c>
      <c r="AE146" s="192" t="str" cm="1">
        <f t="array" ref="AE146">Common_InputFunctions.Utility_DisplayArrayInTable(Fertiliser_SourceData.Fertiliser_Products_Data2(), FertiliserProducts[[#Headers],[Company]],31)</f>
        <v/>
      </c>
      <c r="AF146" s="192" t="str" cm="1">
        <f t="array" ref="AF146">Common_InputFunctions.Utility_DisplayArrayInTable(Fertiliser_SourceData.Fertiliser_Products_Data2(), FertiliserProducts[[#Headers],[Company]],31)</f>
        <v/>
      </c>
      <c r="AG146" s="192" t="str" cm="1">
        <f t="array" ref="AG146">Common_InputFunctions.Utility_DisplayArrayInTable(Fertiliser_SourceData.Fertiliser_Products_Data2(), FertiliserProducts[[#Headers],[Company]],31)</f>
        <v/>
      </c>
      <c r="AH146" s="192" t="str" cm="1">
        <f t="array" ref="AH146">Common_InputFunctions.Utility_DisplayArrayInTable(Fertiliser_SourceData.Fertiliser_Products_Data2(), FertiliserProducts[[#Headers],[Company]],31)</f>
        <v/>
      </c>
      <c r="AK146" s="1"/>
      <c r="AL146" s="1"/>
      <c r="AM146" s="1"/>
    </row>
    <row r="147" spans="4:39" ht="20.100000000000001" customHeight="1" x14ac:dyDescent="0.25">
      <c r="D147" s="192" t="str" cm="1">
        <f t="array" ref="D147">Common_InputFunctions.Utility_DisplayArrayInTable(Fertiliser_SourceData.Fertiliser_Products_Data2(), FertiliserProducts[[#Headers],[Company]],31)</f>
        <v>Yara Australia</v>
      </c>
      <c r="E147" s="192" t="str" cm="1">
        <f t="array" ref="E147">Common_InputFunctions.Utility_DisplayArrayInTable(Fertiliser_SourceData.Fertiliser_Products_Data2(), FertiliserProducts[[#Headers],[Company]],31)</f>
        <v>YaraTera KRISTA MAP</v>
      </c>
      <c r="F147" s="192" t="str" cm="1">
        <f t="array" ref="F147">Common_InputFunctions.Utility_DisplayArrayInTable(Fertiliser_SourceData.Fertiliser_Products_Data2(), FertiliserProducts[[#Headers],[Company]],31)</f>
        <v>kg</v>
      </c>
      <c r="G147" s="192" cm="1">
        <f t="array" ref="G147">Common_InputFunctions.Utility_DisplayArrayInTable(Fertiliser_SourceData.Fertiliser_Products_Data2(), FertiliserProducts[[#Headers],[Company]],31)</f>
        <v>1</v>
      </c>
      <c r="H147" s="192" t="str" cm="1">
        <f t="array" ref="H147">Common_InputFunctions.Utility_DisplayArrayInTable(Fertiliser_SourceData.Fertiliser_Products_Data2(), FertiliserProducts[[#Headers],[Company]],31)</f>
        <v/>
      </c>
      <c r="I147" s="192" t="str" cm="1">
        <f t="array" ref="I147">Common_InputFunctions.Utility_DisplayArrayInTable(Fertiliser_SourceData.Fertiliser_Products_Data2(), FertiliserProducts[[#Headers],[Company]],31)</f>
        <v/>
      </c>
      <c r="J147" s="192" t="str" cm="1">
        <f t="array" ref="J147">Common_InputFunctions.Utility_DisplayArrayInTable(Fertiliser_SourceData.Fertiliser_Products_Data2(), FertiliserProducts[[#Headers],[Company]],31)</f>
        <v/>
      </c>
      <c r="K147" s="192" cm="1">
        <f t="array" ref="K147">Common_InputFunctions.Utility_DisplayArrayInTable(Fertiliser_SourceData.Fertiliser_Products_Data2(), FertiliserProducts[[#Headers],[Company]],31)</f>
        <v>10</v>
      </c>
      <c r="L147" s="192" cm="1">
        <f t="array" ref="L147">Common_InputFunctions.Utility_DisplayArrayInTable(Fertiliser_SourceData.Fertiliser_Products_Data2(), FertiliserProducts[[#Headers],[Company]],31)</f>
        <v>21.9</v>
      </c>
      <c r="M147" s="192" t="str" cm="1">
        <f t="array" ref="M147">Common_InputFunctions.Utility_DisplayArrayInTable(Fertiliser_SourceData.Fertiliser_Products_Data2(), FertiliserProducts[[#Headers],[Company]],31)</f>
        <v/>
      </c>
      <c r="N147" s="192" t="str" cm="1">
        <f t="array" ref="N147">Common_InputFunctions.Utility_DisplayArrayInTable(Fertiliser_SourceData.Fertiliser_Products_Data2(), FertiliserProducts[[#Headers],[Company]],31)</f>
        <v/>
      </c>
      <c r="O147" s="192" t="str" cm="1">
        <f t="array" ref="O147">Common_InputFunctions.Utility_DisplayArrayInTable(Fertiliser_SourceData.Fertiliser_Products_Data2(), FertiliserProducts[[#Headers],[Company]],31)</f>
        <v>Monoammonium phosphate (MAP)</v>
      </c>
      <c r="P147" s="192" cm="1">
        <f t="array" ref="P147">Common_InputFunctions.Utility_DisplayArrayInTable(Fertiliser_SourceData.Fertiliser_Products_Data2(), FertiliserProducts[[#Headers],[Company]],31)</f>
        <v>1</v>
      </c>
      <c r="Q147" s="192" t="str" cm="1">
        <f t="array" ref="Q147">Common_InputFunctions.Utility_DisplayArrayInTable(Fertiliser_SourceData.Fertiliser_Products_Data2(), FertiliserProducts[[#Headers],[Company]],31)</f>
        <v/>
      </c>
      <c r="R147" s="192" t="str" cm="1">
        <f t="array" ref="R147">Common_InputFunctions.Utility_DisplayArrayInTable(Fertiliser_SourceData.Fertiliser_Products_Data2(), FertiliserProducts[[#Headers],[Company]],31)</f>
        <v/>
      </c>
      <c r="S147" s="192" t="str" cm="1">
        <f t="array" ref="S147">Common_InputFunctions.Utility_DisplayArrayInTable(Fertiliser_SourceData.Fertiliser_Products_Data2(), FertiliserProducts[[#Headers],[Company]],31)</f>
        <v/>
      </c>
      <c r="T147" s="192" t="str" cm="1">
        <f t="array" ref="T147">Common_InputFunctions.Utility_DisplayArrayInTable(Fertiliser_SourceData.Fertiliser_Products_Data2(), FertiliserProducts[[#Headers],[Company]],31)</f>
        <v/>
      </c>
      <c r="U147" s="192" t="str" cm="1">
        <f t="array" ref="U147">Common_InputFunctions.Utility_DisplayArrayInTable(Fertiliser_SourceData.Fertiliser_Products_Data2(), FertiliserProducts[[#Headers],[Company]],31)</f>
        <v/>
      </c>
      <c r="V147" s="192" t="str" cm="1">
        <f t="array" ref="V147">Common_InputFunctions.Utility_DisplayArrayInTable(Fertiliser_SourceData.Fertiliser_Products_Data2(), FertiliserProducts[[#Headers],[Company]],31)</f>
        <v/>
      </c>
      <c r="W147" s="192" t="str" cm="1">
        <f t="array" ref="W147">Common_InputFunctions.Utility_DisplayArrayInTable(Fertiliser_SourceData.Fertiliser_Products_Data2(), FertiliserProducts[[#Headers],[Company]],31)</f>
        <v/>
      </c>
      <c r="X147" s="192" t="str" cm="1">
        <f t="array" ref="X147">Common_InputFunctions.Utility_DisplayArrayInTable(Fertiliser_SourceData.Fertiliser_Products_Data2(), FertiliserProducts[[#Headers],[Company]],31)</f>
        <v/>
      </c>
      <c r="Y147" s="192" t="str" cm="1">
        <f t="array" ref="Y147">Common_InputFunctions.Utility_DisplayArrayInTable(Fertiliser_SourceData.Fertiliser_Products_Data2(), FertiliserProducts[[#Headers],[Company]],31)</f>
        <v/>
      </c>
      <c r="Z147" s="192" t="str" cm="1">
        <f t="array" ref="Z147">Common_InputFunctions.Utility_DisplayArrayInTable(Fertiliser_SourceData.Fertiliser_Products_Data2(), FertiliserProducts[[#Headers],[Company]],31)</f>
        <v/>
      </c>
      <c r="AA147" s="192" t="str" cm="1">
        <f t="array" ref="AA147">Common_InputFunctions.Utility_DisplayArrayInTable(Fertiliser_SourceData.Fertiliser_Products_Data2(), FertiliserProducts[[#Headers],[Company]],31)</f>
        <v/>
      </c>
      <c r="AB147" s="192" t="str" cm="1">
        <f t="array" ref="AB147">Common_InputFunctions.Utility_DisplayArrayInTable(Fertiliser_SourceData.Fertiliser_Products_Data2(), FertiliserProducts[[#Headers],[Company]],31)</f>
        <v/>
      </c>
      <c r="AC147" s="192" t="str" cm="1">
        <f t="array" ref="AC147">Common_InputFunctions.Utility_DisplayArrayInTable(Fertiliser_SourceData.Fertiliser_Products_Data2(), FertiliserProducts[[#Headers],[Company]],31)</f>
        <v/>
      </c>
      <c r="AD147" s="192" t="str" cm="1">
        <f t="array" ref="AD147">Common_InputFunctions.Utility_DisplayArrayInTable(Fertiliser_SourceData.Fertiliser_Products_Data2(), FertiliserProducts[[#Headers],[Company]],31)</f>
        <v/>
      </c>
      <c r="AE147" s="192" t="str" cm="1">
        <f t="array" ref="AE147">Common_InputFunctions.Utility_DisplayArrayInTable(Fertiliser_SourceData.Fertiliser_Products_Data2(), FertiliserProducts[[#Headers],[Company]],31)</f>
        <v/>
      </c>
      <c r="AF147" s="192" t="str" cm="1">
        <f t="array" ref="AF147">Common_InputFunctions.Utility_DisplayArrayInTable(Fertiliser_SourceData.Fertiliser_Products_Data2(), FertiliserProducts[[#Headers],[Company]],31)</f>
        <v/>
      </c>
      <c r="AG147" s="192" t="str" cm="1">
        <f t="array" ref="AG147">Common_InputFunctions.Utility_DisplayArrayInTable(Fertiliser_SourceData.Fertiliser_Products_Data2(), FertiliserProducts[[#Headers],[Company]],31)</f>
        <v/>
      </c>
      <c r="AH147" s="192" t="str" cm="1">
        <f t="array" ref="AH147">Common_InputFunctions.Utility_DisplayArrayInTable(Fertiliser_SourceData.Fertiliser_Products_Data2(), FertiliserProducts[[#Headers],[Company]],31)</f>
        <v/>
      </c>
      <c r="AK147" s="1"/>
      <c r="AL147" s="1"/>
      <c r="AM147" s="1"/>
    </row>
    <row r="148" spans="4:39" ht="20.100000000000001" customHeight="1" x14ac:dyDescent="0.25">
      <c r="D148" s="192" t="str" cm="1">
        <f t="array" ref="D148">Common_InputFunctions.Utility_DisplayArrayInTable(Fertiliser_SourceData.Fertiliser_Products_Data2(), FertiliserProducts[[#Headers],[Company]],31)</f>
        <v>Yara Australia</v>
      </c>
      <c r="E148" s="192" t="str" cm="1">
        <f t="array" ref="E148">Common_InputFunctions.Utility_DisplayArrayInTable(Fertiliser_SourceData.Fertiliser_Products_Data2(), FertiliserProducts[[#Headers],[Company]],31)</f>
        <v>YaraTera KRISTALON RED</v>
      </c>
      <c r="F148" s="192" t="str" cm="1">
        <f t="array" ref="F148">Common_InputFunctions.Utility_DisplayArrayInTable(Fertiliser_SourceData.Fertiliser_Products_Data2(), FertiliserProducts[[#Headers],[Company]],31)</f>
        <v>kg</v>
      </c>
      <c r="G148" s="192" cm="1">
        <f t="array" ref="G148">Common_InputFunctions.Utility_DisplayArrayInTable(Fertiliser_SourceData.Fertiliser_Products_Data2(), FertiliserProducts[[#Headers],[Company]],31)</f>
        <v>1</v>
      </c>
      <c r="H148" s="192" t="str" cm="1">
        <f t="array" ref="H148">Common_InputFunctions.Utility_DisplayArrayInTable(Fertiliser_SourceData.Fertiliser_Products_Data2(), FertiliserProducts[[#Headers],[Company]],31)</f>
        <v/>
      </c>
      <c r="I148" s="192" t="str" cm="1">
        <f t="array" ref="I148">Common_InputFunctions.Utility_DisplayArrayInTable(Fertiliser_SourceData.Fertiliser_Products_Data2(), FertiliserProducts[[#Headers],[Company]],31)</f>
        <v/>
      </c>
      <c r="J148" s="192" t="str" cm="1">
        <f t="array" ref="J148">Common_InputFunctions.Utility_DisplayArrayInTable(Fertiliser_SourceData.Fertiliser_Products_Data2(), FertiliserProducts[[#Headers],[Company]],31)</f>
        <v/>
      </c>
      <c r="K148" s="192" cm="1">
        <f t="array" ref="K148">Common_InputFunctions.Utility_DisplayArrayInTable(Fertiliser_SourceData.Fertiliser_Products_Data2(), FertiliserProducts[[#Headers],[Company]],31)</f>
        <v>12</v>
      </c>
      <c r="L148" s="192" cm="1">
        <f t="array" ref="L148">Common_InputFunctions.Utility_DisplayArrayInTable(Fertiliser_SourceData.Fertiliser_Products_Data2(), FertiliserProducts[[#Headers],[Company]],31)</f>
        <v>5.2</v>
      </c>
      <c r="M148" s="192" cm="1">
        <f t="array" ref="M148">Common_InputFunctions.Utility_DisplayArrayInTable(Fertiliser_SourceData.Fertiliser_Products_Data2(), FertiliserProducts[[#Headers],[Company]],31)</f>
        <v>29.9</v>
      </c>
      <c r="N148" s="192" cm="1">
        <f t="array" ref="N148">Common_InputFunctions.Utility_DisplayArrayInTable(Fertiliser_SourceData.Fertiliser_Products_Data2(), FertiliserProducts[[#Headers],[Company]],31)</f>
        <v>1</v>
      </c>
      <c r="O148" s="192" t="str" cm="1">
        <f t="array" ref="O148">Common_InputFunctions.Utility_DisplayArrayInTable(Fertiliser_SourceData.Fertiliser_Products_Data2(), FertiliserProducts[[#Headers],[Company]],31)</f>
        <v>Potassium - Generic</v>
      </c>
      <c r="P148" s="192" cm="1">
        <f t="array" ref="P148">Common_InputFunctions.Utility_DisplayArrayInTable(Fertiliser_SourceData.Fertiliser_Products_Data2(), FertiliserProducts[[#Headers],[Company]],31)</f>
        <v>0.29899999999999999</v>
      </c>
      <c r="Q148" s="192" t="str" cm="1">
        <f t="array" ref="Q148">Common_InputFunctions.Utility_DisplayArrayInTable(Fertiliser_SourceData.Fertiliser_Products_Data2(), FertiliserProducts[[#Headers],[Company]],31)</f>
        <v>Nitrogen - Nitrate</v>
      </c>
      <c r="R148" s="192" cm="1">
        <f t="array" ref="R148">Common_InputFunctions.Utility_DisplayArrayInTable(Fertiliser_SourceData.Fertiliser_Products_Data2(), FertiliserProducts[[#Headers],[Company]],31)</f>
        <v>0.10100000000000001</v>
      </c>
      <c r="S148" s="192" t="str" cm="1">
        <f t="array" ref="S148">Common_InputFunctions.Utility_DisplayArrayInTable(Fertiliser_SourceData.Fertiliser_Products_Data2(), FertiliserProducts[[#Headers],[Company]],31)</f>
        <v>Phosphorus - Generic</v>
      </c>
      <c r="T148" s="192" cm="1">
        <f t="array" ref="T148">Common_InputFunctions.Utility_DisplayArrayInTable(Fertiliser_SourceData.Fertiliser_Products_Data2(), FertiliserProducts[[#Headers],[Company]],31)</f>
        <v>5.1999999999999998E-2</v>
      </c>
      <c r="U148" s="192" t="str" cm="1">
        <f t="array" ref="U148">Common_InputFunctions.Utility_DisplayArrayInTable(Fertiliser_SourceData.Fertiliser_Products_Data2(), FertiliserProducts[[#Headers],[Company]],31)</f>
        <v>Nitrogen - Ammoniacal</v>
      </c>
      <c r="V148" s="192" cm="1">
        <f t="array" ref="V148">Common_InputFunctions.Utility_DisplayArrayInTable(Fertiliser_SourceData.Fertiliser_Products_Data2(), FertiliserProducts[[#Headers],[Company]],31)</f>
        <v>1.9E-2</v>
      </c>
      <c r="W148" s="192" t="str" cm="1">
        <f t="array" ref="W148">Common_InputFunctions.Utility_DisplayArrayInTable(Fertiliser_SourceData.Fertiliser_Products_Data2(), FertiliserProducts[[#Headers],[Company]],31)</f>
        <v>Sulfur - Generic</v>
      </c>
      <c r="X148" s="192" cm="1">
        <f t="array" ref="X148">Common_InputFunctions.Utility_DisplayArrayInTable(Fertiliser_SourceData.Fertiliser_Products_Data2(), FertiliserProducts[[#Headers],[Company]],31)</f>
        <v>0.01</v>
      </c>
      <c r="Y148" s="192" t="str" cm="1">
        <f t="array" ref="Y148">Common_InputFunctions.Utility_DisplayArrayInTable(Fertiliser_SourceData.Fertiliser_Products_Data2(), FertiliserProducts[[#Headers],[Company]],31)</f>
        <v>Magnesium</v>
      </c>
      <c r="Z148" s="192" cm="1">
        <f t="array" ref="Z148">Common_InputFunctions.Utility_DisplayArrayInTable(Fertiliser_SourceData.Fertiliser_Products_Data2(), FertiliserProducts[[#Headers],[Company]],31)</f>
        <v>6.0000000000000001E-3</v>
      </c>
      <c r="AA148" s="192" t="str" cm="1">
        <f t="array" ref="AA148">Common_InputFunctions.Utility_DisplayArrayInTable(Fertiliser_SourceData.Fertiliser_Products_Data2(), FertiliserProducts[[#Headers],[Company]],31)</f>
        <v>Iron</v>
      </c>
      <c r="AB148" s="192" cm="1">
        <f t="array" ref="AB148">Common_InputFunctions.Utility_DisplayArrayInTable(Fertiliser_SourceData.Fertiliser_Products_Data2(), FertiliserProducts[[#Headers],[Company]],31)</f>
        <v>6.9999999999999999E-4</v>
      </c>
      <c r="AC148" s="192" t="str" cm="1">
        <f t="array" ref="AC148">Common_InputFunctions.Utility_DisplayArrayInTable(Fertiliser_SourceData.Fertiliser_Products_Data2(), FertiliserProducts[[#Headers],[Company]],31)</f>
        <v>Manganese</v>
      </c>
      <c r="AD148" s="192" cm="1">
        <f t="array" ref="AD148">Common_InputFunctions.Utility_DisplayArrayInTable(Fertiliser_SourceData.Fertiliser_Products_Data2(), FertiliserProducts[[#Headers],[Company]],31)</f>
        <v>4.0000000000000002E-4</v>
      </c>
      <c r="AE148" s="192" t="str" cm="1">
        <f t="array" ref="AE148">Common_InputFunctions.Utility_DisplayArrayInTable(Fertiliser_SourceData.Fertiliser_Products_Data2(), FertiliserProducts[[#Headers],[Company]],31)</f>
        <v>Zinc</v>
      </c>
      <c r="AF148" s="192" cm="1">
        <f t="array" ref="AF148">Common_InputFunctions.Utility_DisplayArrayInTable(Fertiliser_SourceData.Fertiliser_Products_Data2(), FertiliserProducts[[#Headers],[Company]],31)</f>
        <v>2.5000000000000001E-4</v>
      </c>
      <c r="AG148" s="192" t="str" cm="1">
        <f t="array" ref="AG148">Common_InputFunctions.Utility_DisplayArrayInTable(Fertiliser_SourceData.Fertiliser_Products_Data2(), FertiliserProducts[[#Headers],[Company]],31)</f>
        <v>Boron</v>
      </c>
      <c r="AH148" s="192" cm="1">
        <f t="array" ref="AH148">Common_InputFunctions.Utility_DisplayArrayInTable(Fertiliser_SourceData.Fertiliser_Products_Data2(), FertiliserProducts[[#Headers],[Company]],31)</f>
        <v>2.5000000000000001E-4</v>
      </c>
      <c r="AK148" s="1"/>
      <c r="AL148" s="1"/>
      <c r="AM148" s="1"/>
    </row>
    <row r="149" spans="4:39" ht="20.100000000000001" customHeight="1" x14ac:dyDescent="0.25">
      <c r="D149" s="192" t="str" cm="1">
        <f t="array" ref="D149">Common_InputFunctions.Utility_DisplayArrayInTable(Fertiliser_SourceData.Fertiliser_Products_Data2(), FertiliserProducts[[#Headers],[Company]],31)</f>
        <v>Yara Australia</v>
      </c>
      <c r="E149" s="192" t="str" cm="1">
        <f t="array" ref="E149">Common_InputFunctions.Utility_DisplayArrayInTable(Fertiliser_SourceData.Fertiliser_Products_Data2(), FertiliserProducts[[#Headers],[Company]],31)</f>
        <v>YaraTera KRISTALON SPECIAL</v>
      </c>
      <c r="F149" s="192" t="str" cm="1">
        <f t="array" ref="F149">Common_InputFunctions.Utility_DisplayArrayInTable(Fertiliser_SourceData.Fertiliser_Products_Data2(), FertiliserProducts[[#Headers],[Company]],31)</f>
        <v>kg</v>
      </c>
      <c r="G149" s="192" cm="1">
        <f t="array" ref="G149">Common_InputFunctions.Utility_DisplayArrayInTable(Fertiliser_SourceData.Fertiliser_Products_Data2(), FertiliserProducts[[#Headers],[Company]],31)</f>
        <v>1</v>
      </c>
      <c r="H149" s="192" t="str" cm="1">
        <f t="array" ref="H149">Common_InputFunctions.Utility_DisplayArrayInTable(Fertiliser_SourceData.Fertiliser_Products_Data2(), FertiliserProducts[[#Headers],[Company]],31)</f>
        <v/>
      </c>
      <c r="I149" s="192" t="str" cm="1">
        <f t="array" ref="I149">Common_InputFunctions.Utility_DisplayArrayInTable(Fertiliser_SourceData.Fertiliser_Products_Data2(), FertiliserProducts[[#Headers],[Company]],31)</f>
        <v/>
      </c>
      <c r="J149" s="192" t="str" cm="1">
        <f t="array" ref="J149">Common_InputFunctions.Utility_DisplayArrayInTable(Fertiliser_SourceData.Fertiliser_Products_Data2(), FertiliserProducts[[#Headers],[Company]],31)</f>
        <v/>
      </c>
      <c r="K149" s="192" cm="1">
        <f t="array" ref="K149">Common_InputFunctions.Utility_DisplayArrayInTable(Fertiliser_SourceData.Fertiliser_Products_Data2(), FertiliserProducts[[#Headers],[Company]],31)</f>
        <v>18</v>
      </c>
      <c r="L149" s="192" cm="1">
        <f t="array" ref="L149">Common_InputFunctions.Utility_DisplayArrayInTable(Fertiliser_SourceData.Fertiliser_Products_Data2(), FertiliserProducts[[#Headers],[Company]],31)</f>
        <v>7.9</v>
      </c>
      <c r="M149" s="192" cm="1">
        <f t="array" ref="M149">Common_InputFunctions.Utility_DisplayArrayInTable(Fertiliser_SourceData.Fertiliser_Products_Data2(), FertiliserProducts[[#Headers],[Company]],31)</f>
        <v>14.9</v>
      </c>
      <c r="N149" s="192" cm="1">
        <f t="array" ref="N149">Common_InputFunctions.Utility_DisplayArrayInTable(Fertiliser_SourceData.Fertiliser_Products_Data2(), FertiliserProducts[[#Headers],[Company]],31)</f>
        <v>2</v>
      </c>
      <c r="O149" s="192" t="str" cm="1">
        <f t="array" ref="O149">Common_InputFunctions.Utility_DisplayArrayInTable(Fertiliser_SourceData.Fertiliser_Products_Data2(), FertiliserProducts[[#Headers],[Company]],31)</f>
        <v>Potassium - Generic</v>
      </c>
      <c r="P149" s="192" cm="1">
        <f t="array" ref="P149">Common_InputFunctions.Utility_DisplayArrayInTable(Fertiliser_SourceData.Fertiliser_Products_Data2(), FertiliserProducts[[#Headers],[Company]],31)</f>
        <v>0.14899999999999999</v>
      </c>
      <c r="Q149" s="192" t="str" cm="1">
        <f t="array" ref="Q149">Common_InputFunctions.Utility_DisplayArrayInTable(Fertiliser_SourceData.Fertiliser_Products_Data2(), FertiliserProducts[[#Headers],[Company]],31)</f>
        <v>Urea</v>
      </c>
      <c r="R149" s="192" cm="1">
        <f t="array" ref="R149">Common_InputFunctions.Utility_DisplayArrayInTable(Fertiliser_SourceData.Fertiliser_Products_Data2(), FertiliserProducts[[#Headers],[Company]],31)</f>
        <v>0.21304300000000001</v>
      </c>
      <c r="S149" s="192" t="str" cm="1">
        <f t="array" ref="S149">Common_InputFunctions.Utility_DisplayArrayInTable(Fertiliser_SourceData.Fertiliser_Products_Data2(), FertiliserProducts[[#Headers],[Company]],31)</f>
        <v>Phosphorus - Generic</v>
      </c>
      <c r="T149" s="192" cm="1">
        <f t="array" ref="T149">Common_InputFunctions.Utility_DisplayArrayInTable(Fertiliser_SourceData.Fertiliser_Products_Data2(), FertiliserProducts[[#Headers],[Company]],31)</f>
        <v>7.9000000000000001E-2</v>
      </c>
      <c r="U149" s="192" t="str" cm="1">
        <f t="array" ref="U149">Common_InputFunctions.Utility_DisplayArrayInTable(Fertiliser_SourceData.Fertiliser_Products_Data2(), FertiliserProducts[[#Headers],[Company]],31)</f>
        <v>Nitrogen - Nitrate</v>
      </c>
      <c r="V149" s="192" cm="1">
        <f t="array" ref="V149">Common_InputFunctions.Utility_DisplayArrayInTable(Fertiliser_SourceData.Fertiliser_Products_Data2(), FertiliserProducts[[#Headers],[Company]],31)</f>
        <v>4.9000000000000002E-2</v>
      </c>
      <c r="W149" s="192" t="str" cm="1">
        <f t="array" ref="W149">Common_InputFunctions.Utility_DisplayArrayInTable(Fertiliser_SourceData.Fertiliser_Products_Data2(), FertiliserProducts[[#Headers],[Company]],31)</f>
        <v>Nitrogen - Ammoniacal</v>
      </c>
      <c r="X149" s="192" cm="1">
        <f t="array" ref="X149">Common_InputFunctions.Utility_DisplayArrayInTable(Fertiliser_SourceData.Fertiliser_Products_Data2(), FertiliserProducts[[#Headers],[Company]],31)</f>
        <v>3.3000000000000002E-2</v>
      </c>
      <c r="Y149" s="192" t="str" cm="1">
        <f t="array" ref="Y149">Common_InputFunctions.Utility_DisplayArrayInTable(Fertiliser_SourceData.Fertiliser_Products_Data2(), FertiliserProducts[[#Headers],[Company]],31)</f>
        <v>Sulfur - Generic</v>
      </c>
      <c r="Z149" s="192" cm="1">
        <f t="array" ref="Z149">Common_InputFunctions.Utility_DisplayArrayInTable(Fertiliser_SourceData.Fertiliser_Products_Data2(), FertiliserProducts[[#Headers],[Company]],31)</f>
        <v>0.02</v>
      </c>
      <c r="AA149" s="192" t="str" cm="1">
        <f t="array" ref="AA149">Common_InputFunctions.Utility_DisplayArrayInTable(Fertiliser_SourceData.Fertiliser_Products_Data2(), FertiliserProducts[[#Headers],[Company]],31)</f>
        <v>Magnesium</v>
      </c>
      <c r="AB149" s="192" cm="1">
        <f t="array" ref="AB149">Common_InputFunctions.Utility_DisplayArrayInTable(Fertiliser_SourceData.Fertiliser_Products_Data2(), FertiliserProducts[[#Headers],[Company]],31)</f>
        <v>1.7999999999999999E-2</v>
      </c>
      <c r="AC149" s="192" t="str" cm="1">
        <f t="array" ref="AC149">Common_InputFunctions.Utility_DisplayArrayInTable(Fertiliser_SourceData.Fertiliser_Products_Data2(), FertiliserProducts[[#Headers],[Company]],31)</f>
        <v>Iron</v>
      </c>
      <c r="AD149" s="192" cm="1">
        <f t="array" ref="AD149">Common_InputFunctions.Utility_DisplayArrayInTable(Fertiliser_SourceData.Fertiliser_Products_Data2(), FertiliserProducts[[#Headers],[Company]],31)</f>
        <v>6.9999999999999999E-4</v>
      </c>
      <c r="AE149" s="192" t="str" cm="1">
        <f t="array" ref="AE149">Common_InputFunctions.Utility_DisplayArrayInTable(Fertiliser_SourceData.Fertiliser_Products_Data2(), FertiliserProducts[[#Headers],[Company]],31)</f>
        <v>Manganese</v>
      </c>
      <c r="AF149" s="192" cm="1">
        <f t="array" ref="AF149">Common_InputFunctions.Utility_DisplayArrayInTable(Fertiliser_SourceData.Fertiliser_Products_Data2(), FertiliserProducts[[#Headers],[Company]],31)</f>
        <v>4.0000000000000002E-4</v>
      </c>
      <c r="AG149" s="192" t="str" cm="1">
        <f t="array" ref="AG149">Common_InputFunctions.Utility_DisplayArrayInTable(Fertiliser_SourceData.Fertiliser_Products_Data2(), FertiliserProducts[[#Headers],[Company]],31)</f>
        <v>Zinc</v>
      </c>
      <c r="AH149" s="192" cm="1">
        <f t="array" ref="AH149">Common_InputFunctions.Utility_DisplayArrayInTable(Fertiliser_SourceData.Fertiliser_Products_Data2(), FertiliserProducts[[#Headers],[Company]],31)</f>
        <v>2.5000000000000001E-4</v>
      </c>
      <c r="AK149" s="1"/>
      <c r="AL149" s="1"/>
      <c r="AM149" s="1"/>
    </row>
    <row r="150" spans="4:39" ht="20.100000000000001" customHeight="1" x14ac:dyDescent="0.25">
      <c r="D150" s="192" t="str" cm="1">
        <f t="array" ref="D150">Common_InputFunctions.Utility_DisplayArrayInTable(Fertiliser_SourceData.Fertiliser_Products_Data3(), FertiliserProducts[[#Headers],[Company]],61)</f>
        <v>Yara Australia</v>
      </c>
      <c r="E150" s="192" t="str" cm="1">
        <f t="array" ref="E150">Common_InputFunctions.Utility_DisplayArrayInTable(Fertiliser_SourceData.Fertiliser_Products_Data3(), FertiliserProducts[[#Headers],[Company]],61)</f>
        <v>YaraMila 21-7-3(4)</v>
      </c>
      <c r="F150" s="192" t="str" cm="1">
        <f t="array" ref="F150">Common_InputFunctions.Utility_DisplayArrayInTable(Fertiliser_SourceData.Fertiliser_Products_Data3(), FertiliserProducts[[#Headers],[Company]],61)</f>
        <v>kg</v>
      </c>
      <c r="G150" s="192" cm="1">
        <f t="array" ref="G150">Common_InputFunctions.Utility_DisplayArrayInTable(Fertiliser_SourceData.Fertiliser_Products_Data3(), FertiliserProducts[[#Headers],[Company]],61)</f>
        <v>1</v>
      </c>
      <c r="H150" s="192" t="str" cm="1">
        <f t="array" ref="H150">Common_InputFunctions.Utility_DisplayArrayInTable(Fertiliser_SourceData.Fertiliser_Products_Data3(), FertiliserProducts[[#Headers],[Company]],61)</f>
        <v/>
      </c>
      <c r="I150" s="192" t="str" cm="1">
        <f t="array" ref="I150">Common_InputFunctions.Utility_DisplayArrayInTable(Fertiliser_SourceData.Fertiliser_Products_Data3(), FertiliserProducts[[#Headers],[Company]],61)</f>
        <v/>
      </c>
      <c r="J150" s="192" t="str" cm="1">
        <f t="array" ref="J150">Common_InputFunctions.Utility_DisplayArrayInTable(Fertiliser_SourceData.Fertiliser_Products_Data3(), FertiliserProducts[[#Headers],[Company]],61)</f>
        <v/>
      </c>
      <c r="K150" s="192" cm="1">
        <f t="array" ref="K150">Common_InputFunctions.Utility_DisplayArrayInTable(Fertiliser_SourceData.Fertiliser_Products_Data3(), FertiliserProducts[[#Headers],[Company]],61)</f>
        <v>21</v>
      </c>
      <c r="L150" s="192" cm="1">
        <f t="array" ref="L150">Common_InputFunctions.Utility_DisplayArrayInTable(Fertiliser_SourceData.Fertiliser_Products_Data3(), FertiliserProducts[[#Headers],[Company]],61)</f>
        <v>7.4</v>
      </c>
      <c r="M150" s="192" cm="1">
        <f t="array" ref="M150">Common_InputFunctions.Utility_DisplayArrayInTable(Fertiliser_SourceData.Fertiliser_Products_Data3(), FertiliserProducts[[#Headers],[Company]],61)</f>
        <v>2.5</v>
      </c>
      <c r="N150" s="192" cm="1">
        <f t="array" ref="N150">Common_InputFunctions.Utility_DisplayArrayInTable(Fertiliser_SourceData.Fertiliser_Products_Data3(), FertiliserProducts[[#Headers],[Company]],61)</f>
        <v>4</v>
      </c>
      <c r="O150" s="192" t="str" cm="1">
        <f t="array" ref="O150">Common_InputFunctions.Utility_DisplayArrayInTable(Fertiliser_SourceData.Fertiliser_Products_Data3(), FertiliserProducts[[#Headers],[Company]],61)</f>
        <v>Nitrogen - Nitrate</v>
      </c>
      <c r="P150" s="192" cm="1">
        <f t="array" ref="P150">Common_InputFunctions.Utility_DisplayArrayInTable(Fertiliser_SourceData.Fertiliser_Products_Data3(), FertiliserProducts[[#Headers],[Company]],61)</f>
        <v>0.105</v>
      </c>
      <c r="Q150" s="192" t="str" cm="1">
        <f t="array" ref="Q150">Common_InputFunctions.Utility_DisplayArrayInTable(Fertiliser_SourceData.Fertiliser_Products_Data3(), FertiliserProducts[[#Headers],[Company]],61)</f>
        <v>Nitrogen - Ammoniacal</v>
      </c>
      <c r="R150" s="192" cm="1">
        <f t="array" ref="R150">Common_InputFunctions.Utility_DisplayArrayInTable(Fertiliser_SourceData.Fertiliser_Products_Data3(), FertiliserProducts[[#Headers],[Company]],61)</f>
        <v>0.105</v>
      </c>
      <c r="S150" s="192" t="str" cm="1">
        <f t="array" ref="S150">Common_InputFunctions.Utility_DisplayArrayInTable(Fertiliser_SourceData.Fertiliser_Products_Data3(), FertiliserProducts[[#Headers],[Company]],61)</f>
        <v>Phosphorus - Generic</v>
      </c>
      <c r="T150" s="192" cm="1">
        <f t="array" ref="T150">Common_InputFunctions.Utility_DisplayArrayInTable(Fertiliser_SourceData.Fertiliser_Products_Data3(), FertiliserProducts[[#Headers],[Company]],61)</f>
        <v>7.3999999999999996E-2</v>
      </c>
      <c r="U150" s="192" t="str" cm="1">
        <f t="array" ref="U150">Common_InputFunctions.Utility_DisplayArrayInTable(Fertiliser_SourceData.Fertiliser_Products_Data3(), FertiliserProducts[[#Headers],[Company]],61)</f>
        <v>Sulfur - Generic</v>
      </c>
      <c r="V150" s="192" cm="1">
        <f t="array" ref="V150">Common_InputFunctions.Utility_DisplayArrayInTable(Fertiliser_SourceData.Fertiliser_Products_Data3(), FertiliserProducts[[#Headers],[Company]],61)</f>
        <v>0.04</v>
      </c>
      <c r="W150" s="192" t="str" cm="1">
        <f t="array" ref="W150">Common_InputFunctions.Utility_DisplayArrayInTable(Fertiliser_SourceData.Fertiliser_Products_Data3(), FertiliserProducts[[#Headers],[Company]],61)</f>
        <v>Potassium - Generic</v>
      </c>
      <c r="X150" s="192" cm="1">
        <f t="array" ref="X150">Common_InputFunctions.Utility_DisplayArrayInTable(Fertiliser_SourceData.Fertiliser_Products_Data3(), FertiliserProducts[[#Headers],[Company]],61)</f>
        <v>2.5000000000000001E-2</v>
      </c>
      <c r="Y150" s="192" t="str" cm="1">
        <f t="array" ref="Y150">Common_InputFunctions.Utility_DisplayArrayInTable(Fertiliser_SourceData.Fertiliser_Products_Data3(), FertiliserProducts[[#Headers],[Company]],61)</f>
        <v>Magnesium</v>
      </c>
      <c r="Z150" s="192" cm="1">
        <f t="array" ref="Z150">Common_InputFunctions.Utility_DisplayArrayInTable(Fertiliser_SourceData.Fertiliser_Products_Data3(), FertiliserProducts[[#Headers],[Company]],61)</f>
        <v>4.0000000000000001E-3</v>
      </c>
      <c r="AA150" s="192" t="str" cm="1">
        <f t="array" ref="AA150">Common_InputFunctions.Utility_DisplayArrayInTable(Fertiliser_SourceData.Fertiliser_Products_Data3(), FertiliserProducts[[#Headers],[Company]],61)</f>
        <v>Zinc</v>
      </c>
      <c r="AB150" s="192" cm="1">
        <f t="array" ref="AB150">Common_InputFunctions.Utility_DisplayArrayInTable(Fertiliser_SourceData.Fertiliser_Products_Data3(), FertiliserProducts[[#Headers],[Company]],61)</f>
        <v>1.5E-3</v>
      </c>
      <c r="AC150" s="192" t="str" cm="1">
        <f t="array" ref="AC150">Common_InputFunctions.Utility_DisplayArrayInTable(Fertiliser_SourceData.Fertiliser_Products_Data3(), FertiliserProducts[[#Headers],[Company]],61)</f>
        <v/>
      </c>
      <c r="AD150" s="192" t="str" cm="1">
        <f t="array" ref="AD150">Common_InputFunctions.Utility_DisplayArrayInTable(Fertiliser_SourceData.Fertiliser_Products_Data3(), FertiliserProducts[[#Headers],[Company]],61)</f>
        <v/>
      </c>
      <c r="AE150" s="192" t="str" cm="1">
        <f t="array" ref="AE150">Common_InputFunctions.Utility_DisplayArrayInTable(Fertiliser_SourceData.Fertiliser_Products_Data3(), FertiliserProducts[[#Headers],[Company]],61)</f>
        <v/>
      </c>
      <c r="AF150" s="192" t="str" cm="1">
        <f t="array" ref="AF150">Common_InputFunctions.Utility_DisplayArrayInTable(Fertiliser_SourceData.Fertiliser_Products_Data3(), FertiliserProducts[[#Headers],[Company]],61)</f>
        <v/>
      </c>
      <c r="AG150" s="192" t="str" cm="1">
        <f t="array" ref="AG150">Common_InputFunctions.Utility_DisplayArrayInTable(Fertiliser_SourceData.Fertiliser_Products_Data3(), FertiliserProducts[[#Headers],[Company]],61)</f>
        <v/>
      </c>
      <c r="AH150" s="192" t="str" cm="1">
        <f t="array" ref="AH150">Common_InputFunctions.Utility_DisplayArrayInTable(Fertiliser_SourceData.Fertiliser_Products_Data3(), FertiliserProducts[[#Headers],[Company]],61)</f>
        <v/>
      </c>
      <c r="AK150" s="1"/>
      <c r="AL150" s="1"/>
      <c r="AM150" s="1"/>
    </row>
    <row r="151" spans="4:39" ht="20.100000000000001" customHeight="1" x14ac:dyDescent="0.25">
      <c r="D151" s="192" t="str" cm="1">
        <f t="array" ref="D151">Common_InputFunctions.Utility_DisplayArrayInTable(Fertiliser_SourceData.Fertiliser_Products_Data3(), FertiliserProducts[[#Headers],[Company]],61)</f>
        <v>Yara Australia</v>
      </c>
      <c r="E151" s="192" t="str" cm="1">
        <f t="array" ref="E151">Common_InputFunctions.Utility_DisplayArrayInTable(Fertiliser_SourceData.Fertiliser_Products_Data3(), FertiliserProducts[[#Headers],[Company]],61)</f>
        <v>YaraTera KRISTALON SCARLET</v>
      </c>
      <c r="F151" s="192" t="str" cm="1">
        <f t="array" ref="F151">Common_InputFunctions.Utility_DisplayArrayInTable(Fertiliser_SourceData.Fertiliser_Products_Data3(), FertiliserProducts[[#Headers],[Company]],61)</f>
        <v>kg</v>
      </c>
      <c r="G151" s="192" cm="1">
        <f t="array" ref="G151">Common_InputFunctions.Utility_DisplayArrayInTable(Fertiliser_SourceData.Fertiliser_Products_Data3(), FertiliserProducts[[#Headers],[Company]],61)</f>
        <v>1</v>
      </c>
      <c r="H151" s="192" t="str" cm="1">
        <f t="array" ref="H151">Common_InputFunctions.Utility_DisplayArrayInTable(Fertiliser_SourceData.Fertiliser_Products_Data3(), FertiliserProducts[[#Headers],[Company]],61)</f>
        <v/>
      </c>
      <c r="I151" s="192" t="str" cm="1">
        <f t="array" ref="I151">Common_InputFunctions.Utility_DisplayArrayInTable(Fertiliser_SourceData.Fertiliser_Products_Data3(), FertiliserProducts[[#Headers],[Company]],61)</f>
        <v/>
      </c>
      <c r="J151" s="192" t="str" cm="1">
        <f t="array" ref="J151">Common_InputFunctions.Utility_DisplayArrayInTable(Fertiliser_SourceData.Fertiliser_Products_Data3(), FertiliserProducts[[#Headers],[Company]],61)</f>
        <v/>
      </c>
      <c r="K151" s="192" cm="1">
        <f t="array" ref="K151">Common_InputFunctions.Utility_DisplayArrayInTable(Fertiliser_SourceData.Fertiliser_Products_Data3(), FertiliserProducts[[#Headers],[Company]],61)</f>
        <v>7.5</v>
      </c>
      <c r="L151" s="192" t="str" cm="1">
        <f t="array" ref="L151">Common_InputFunctions.Utility_DisplayArrayInTable(Fertiliser_SourceData.Fertiliser_Products_Data3(), FertiliserProducts[[#Headers],[Company]],61)</f>
        <v/>
      </c>
      <c r="M151" s="192" cm="1">
        <f t="array" ref="M151">Common_InputFunctions.Utility_DisplayArrayInTable(Fertiliser_SourceData.Fertiliser_Products_Data3(), FertiliserProducts[[#Headers],[Company]],61)</f>
        <v>29.9</v>
      </c>
      <c r="N151" s="192" cm="1">
        <f t="array" ref="N151">Common_InputFunctions.Utility_DisplayArrayInTable(Fertiliser_SourceData.Fertiliser_Products_Data3(), FertiliserProducts[[#Headers],[Company]],61)</f>
        <v>4</v>
      </c>
      <c r="O151" s="192" t="str" cm="1">
        <f t="array" ref="O151">Common_InputFunctions.Utility_DisplayArrayInTable(Fertiliser_SourceData.Fertiliser_Products_Data3(), FertiliserProducts[[#Headers],[Company]],61)</f>
        <v>Potassium - Generic</v>
      </c>
      <c r="P151" s="192" cm="1">
        <f t="array" ref="P151">Common_InputFunctions.Utility_DisplayArrayInTable(Fertiliser_SourceData.Fertiliser_Products_Data3(), FertiliserProducts[[#Headers],[Company]],61)</f>
        <v>0.29899999999999999</v>
      </c>
      <c r="Q151" s="192" t="str" cm="1">
        <f t="array" ref="Q151">Common_InputFunctions.Utility_DisplayArrayInTable(Fertiliser_SourceData.Fertiliser_Products_Data3(), FertiliserProducts[[#Headers],[Company]],61)</f>
        <v>Nitrogen - Nitrate</v>
      </c>
      <c r="R151" s="192" cm="1">
        <f t="array" ref="R151">Common_InputFunctions.Utility_DisplayArrayInTable(Fertiliser_SourceData.Fertiliser_Products_Data3(), FertiliserProducts[[#Headers],[Company]],61)</f>
        <v>5.1999999999999998E-2</v>
      </c>
      <c r="S151" s="192" t="str" cm="1">
        <f t="array" ref="S151">Common_InputFunctions.Utility_DisplayArrayInTable(Fertiliser_SourceData.Fertiliser_Products_Data3(), FertiliserProducts[[#Headers],[Company]],61)</f>
        <v>Sulfur - Generic</v>
      </c>
      <c r="T151" s="192" cm="1">
        <f t="array" ref="T151">Common_InputFunctions.Utility_DisplayArrayInTable(Fertiliser_SourceData.Fertiliser_Products_Data3(), FertiliserProducts[[#Headers],[Company]],61)</f>
        <v>0.04</v>
      </c>
      <c r="U151" s="192" t="str" cm="1">
        <f t="array" ref="U151">Common_InputFunctions.Utility_DisplayArrayInTable(Fertiliser_SourceData.Fertiliser_Products_Data3(), FertiliserProducts[[#Headers],[Company]],61)</f>
        <v>Magnesium</v>
      </c>
      <c r="V151" s="192" cm="1">
        <f t="array" ref="V151">Common_InputFunctions.Utility_DisplayArrayInTable(Fertiliser_SourceData.Fertiliser_Products_Data3(), FertiliserProducts[[#Headers],[Company]],61)</f>
        <v>2.7E-2</v>
      </c>
      <c r="W151" s="192" t="str" cm="1">
        <f t="array" ref="W151">Common_InputFunctions.Utility_DisplayArrayInTable(Fertiliser_SourceData.Fertiliser_Products_Data3(), FertiliserProducts[[#Headers],[Company]],61)</f>
        <v>Nitrogen - Ammoniacal</v>
      </c>
      <c r="X151" s="192" cm="1">
        <f t="array" ref="X151">Common_InputFunctions.Utility_DisplayArrayInTable(Fertiliser_SourceData.Fertiliser_Products_Data3(), FertiliserProducts[[#Headers],[Company]],61)</f>
        <v>2.3E-2</v>
      </c>
      <c r="Y151" s="192" t="str" cm="1">
        <f t="array" ref="Y151">Common_InputFunctions.Utility_DisplayArrayInTable(Fertiliser_SourceData.Fertiliser_Products_Data3(), FertiliserProducts[[#Headers],[Company]],61)</f>
        <v/>
      </c>
      <c r="Z151" s="192" t="str" cm="1">
        <f t="array" ref="Z151">Common_InputFunctions.Utility_DisplayArrayInTable(Fertiliser_SourceData.Fertiliser_Products_Data3(), FertiliserProducts[[#Headers],[Company]],61)</f>
        <v/>
      </c>
      <c r="AA151" s="192" t="str" cm="1">
        <f t="array" ref="AA151">Common_InputFunctions.Utility_DisplayArrayInTable(Fertiliser_SourceData.Fertiliser_Products_Data3(), FertiliserProducts[[#Headers],[Company]],61)</f>
        <v/>
      </c>
      <c r="AB151" s="192" t="str" cm="1">
        <f t="array" ref="AB151">Common_InputFunctions.Utility_DisplayArrayInTable(Fertiliser_SourceData.Fertiliser_Products_Data3(), FertiliserProducts[[#Headers],[Company]],61)</f>
        <v/>
      </c>
      <c r="AC151" s="192" t="str" cm="1">
        <f t="array" ref="AC151">Common_InputFunctions.Utility_DisplayArrayInTable(Fertiliser_SourceData.Fertiliser_Products_Data3(), FertiliserProducts[[#Headers],[Company]],61)</f>
        <v/>
      </c>
      <c r="AD151" s="192" t="str" cm="1">
        <f t="array" ref="AD151">Common_InputFunctions.Utility_DisplayArrayInTable(Fertiliser_SourceData.Fertiliser_Products_Data3(), FertiliserProducts[[#Headers],[Company]],61)</f>
        <v/>
      </c>
      <c r="AE151" s="192" t="str" cm="1">
        <f t="array" ref="AE151">Common_InputFunctions.Utility_DisplayArrayInTable(Fertiliser_SourceData.Fertiliser_Products_Data3(), FertiliserProducts[[#Headers],[Company]],61)</f>
        <v/>
      </c>
      <c r="AF151" s="192" t="str" cm="1">
        <f t="array" ref="AF151">Common_InputFunctions.Utility_DisplayArrayInTable(Fertiliser_SourceData.Fertiliser_Products_Data3(), FertiliserProducts[[#Headers],[Company]],61)</f>
        <v/>
      </c>
      <c r="AG151" s="192" t="str" cm="1">
        <f t="array" ref="AG151">Common_InputFunctions.Utility_DisplayArrayInTable(Fertiliser_SourceData.Fertiliser_Products_Data3(), FertiliserProducts[[#Headers],[Company]],61)</f>
        <v/>
      </c>
      <c r="AH151" s="192" t="str" cm="1">
        <f t="array" ref="AH151">Common_InputFunctions.Utility_DisplayArrayInTable(Fertiliser_SourceData.Fertiliser_Products_Data3(), FertiliserProducts[[#Headers],[Company]],61)</f>
        <v/>
      </c>
      <c r="AK151" s="1"/>
      <c r="AL151" s="1"/>
      <c r="AM151" s="1"/>
    </row>
    <row r="152" spans="4:39" ht="20.100000000000001" customHeight="1" x14ac:dyDescent="0.25">
      <c r="D152" s="192" t="str" cm="1">
        <f t="array" ref="D152">Common_InputFunctions.Utility_DisplayArrayInTable(Fertiliser_SourceData.Fertiliser_Products_Data3(), FertiliserProducts[[#Headers],[Company]],61)</f>
        <v>Campbells fertilisers Australia</v>
      </c>
      <c r="E152" s="192" t="str" cm="1">
        <f t="array" ref="E152">Common_InputFunctions.Utility_DisplayArrayInTable(Fertiliser_SourceData.Fertiliser_Products_Data3(), FertiliserProducts[[#Headers],[Company]],61)</f>
        <v>Solu-MAP</v>
      </c>
      <c r="F152" s="192" t="str" cm="1">
        <f t="array" ref="F152">Common_InputFunctions.Utility_DisplayArrayInTable(Fertiliser_SourceData.Fertiliser_Products_Data3(), FertiliserProducts[[#Headers],[Company]],61)</f>
        <v>kg</v>
      </c>
      <c r="G152" s="192" cm="1">
        <f t="array" ref="G152">Common_InputFunctions.Utility_DisplayArrayInTable(Fertiliser_SourceData.Fertiliser_Products_Data3(), FertiliserProducts[[#Headers],[Company]],61)</f>
        <v>1</v>
      </c>
      <c r="H152" s="192" t="str" cm="1">
        <f t="array" ref="H152">Common_InputFunctions.Utility_DisplayArrayInTable(Fertiliser_SourceData.Fertiliser_Products_Data3(), FertiliserProducts[[#Headers],[Company]],61)</f>
        <v/>
      </c>
      <c r="I152" s="192" t="str" cm="1">
        <f t="array" ref="I152">Common_InputFunctions.Utility_DisplayArrayInTable(Fertiliser_SourceData.Fertiliser_Products_Data3(), FertiliserProducts[[#Headers],[Company]],61)</f>
        <v/>
      </c>
      <c r="J152" s="192" t="str" cm="1">
        <f t="array" ref="J152">Common_InputFunctions.Utility_DisplayArrayInTable(Fertiliser_SourceData.Fertiliser_Products_Data3(), FertiliserProducts[[#Headers],[Company]],61)</f>
        <v/>
      </c>
      <c r="K152" s="192" cm="1">
        <f t="array" ref="K152">Common_InputFunctions.Utility_DisplayArrayInTable(Fertiliser_SourceData.Fertiliser_Products_Data3(), FertiliserProducts[[#Headers],[Company]],61)</f>
        <v>10</v>
      </c>
      <c r="L152" s="192" cm="1">
        <f t="array" ref="L152">Common_InputFunctions.Utility_DisplayArrayInTable(Fertiliser_SourceData.Fertiliser_Products_Data3(), FertiliserProducts[[#Headers],[Company]],61)</f>
        <v>21.9</v>
      </c>
      <c r="M152" s="192" t="str" cm="1">
        <f t="array" ref="M152">Common_InputFunctions.Utility_DisplayArrayInTable(Fertiliser_SourceData.Fertiliser_Products_Data3(), FertiliserProducts[[#Headers],[Company]],61)</f>
        <v/>
      </c>
      <c r="N152" s="192" t="str" cm="1">
        <f t="array" ref="N152">Common_InputFunctions.Utility_DisplayArrayInTable(Fertiliser_SourceData.Fertiliser_Products_Data3(), FertiliserProducts[[#Headers],[Company]],61)</f>
        <v/>
      </c>
      <c r="O152" s="192" t="str" cm="1">
        <f t="array" ref="O152">Common_InputFunctions.Utility_DisplayArrayInTable(Fertiliser_SourceData.Fertiliser_Products_Data3(), FertiliserProducts[[#Headers],[Company]],61)</f>
        <v>Monoammonium phosphate (MAP)</v>
      </c>
      <c r="P152" s="192" cm="1">
        <f t="array" ref="P152">Common_InputFunctions.Utility_DisplayArrayInTable(Fertiliser_SourceData.Fertiliser_Products_Data3(), FertiliserProducts[[#Headers],[Company]],61)</f>
        <v>1</v>
      </c>
      <c r="Q152" s="192" t="str" cm="1">
        <f t="array" ref="Q152">Common_InputFunctions.Utility_DisplayArrayInTable(Fertiliser_SourceData.Fertiliser_Products_Data3(), FertiliserProducts[[#Headers],[Company]],61)</f>
        <v/>
      </c>
      <c r="R152" s="192" t="str" cm="1">
        <f t="array" ref="R152">Common_InputFunctions.Utility_DisplayArrayInTable(Fertiliser_SourceData.Fertiliser_Products_Data3(), FertiliserProducts[[#Headers],[Company]],61)</f>
        <v/>
      </c>
      <c r="S152" s="192" t="str" cm="1">
        <f t="array" ref="S152">Common_InputFunctions.Utility_DisplayArrayInTable(Fertiliser_SourceData.Fertiliser_Products_Data3(), FertiliserProducts[[#Headers],[Company]],61)</f>
        <v/>
      </c>
      <c r="T152" s="192" t="str" cm="1">
        <f t="array" ref="T152">Common_InputFunctions.Utility_DisplayArrayInTable(Fertiliser_SourceData.Fertiliser_Products_Data3(), FertiliserProducts[[#Headers],[Company]],61)</f>
        <v/>
      </c>
      <c r="U152" s="192" t="str" cm="1">
        <f t="array" ref="U152">Common_InputFunctions.Utility_DisplayArrayInTable(Fertiliser_SourceData.Fertiliser_Products_Data3(), FertiliserProducts[[#Headers],[Company]],61)</f>
        <v/>
      </c>
      <c r="V152" s="192" t="str" cm="1">
        <f t="array" ref="V152">Common_InputFunctions.Utility_DisplayArrayInTable(Fertiliser_SourceData.Fertiliser_Products_Data3(), FertiliserProducts[[#Headers],[Company]],61)</f>
        <v/>
      </c>
      <c r="W152" s="192" t="str" cm="1">
        <f t="array" ref="W152">Common_InputFunctions.Utility_DisplayArrayInTable(Fertiliser_SourceData.Fertiliser_Products_Data3(), FertiliserProducts[[#Headers],[Company]],61)</f>
        <v/>
      </c>
      <c r="X152" s="192" t="str" cm="1">
        <f t="array" ref="X152">Common_InputFunctions.Utility_DisplayArrayInTable(Fertiliser_SourceData.Fertiliser_Products_Data3(), FertiliserProducts[[#Headers],[Company]],61)</f>
        <v/>
      </c>
      <c r="Y152" s="192" t="str" cm="1">
        <f t="array" ref="Y152">Common_InputFunctions.Utility_DisplayArrayInTable(Fertiliser_SourceData.Fertiliser_Products_Data3(), FertiliserProducts[[#Headers],[Company]],61)</f>
        <v/>
      </c>
      <c r="Z152" s="192" t="str" cm="1">
        <f t="array" ref="Z152">Common_InputFunctions.Utility_DisplayArrayInTable(Fertiliser_SourceData.Fertiliser_Products_Data3(), FertiliserProducts[[#Headers],[Company]],61)</f>
        <v/>
      </c>
      <c r="AA152" s="192" t="str" cm="1">
        <f t="array" ref="AA152">Common_InputFunctions.Utility_DisplayArrayInTable(Fertiliser_SourceData.Fertiliser_Products_Data3(), FertiliserProducts[[#Headers],[Company]],61)</f>
        <v/>
      </c>
      <c r="AB152" s="192" t="str" cm="1">
        <f t="array" ref="AB152">Common_InputFunctions.Utility_DisplayArrayInTable(Fertiliser_SourceData.Fertiliser_Products_Data3(), FertiliserProducts[[#Headers],[Company]],61)</f>
        <v/>
      </c>
      <c r="AC152" s="192" t="str" cm="1">
        <f t="array" ref="AC152">Common_InputFunctions.Utility_DisplayArrayInTable(Fertiliser_SourceData.Fertiliser_Products_Data3(), FertiliserProducts[[#Headers],[Company]],61)</f>
        <v/>
      </c>
      <c r="AD152" s="192" t="str" cm="1">
        <f t="array" ref="AD152">Common_InputFunctions.Utility_DisplayArrayInTable(Fertiliser_SourceData.Fertiliser_Products_Data3(), FertiliserProducts[[#Headers],[Company]],61)</f>
        <v/>
      </c>
      <c r="AE152" s="192" t="str" cm="1">
        <f t="array" ref="AE152">Common_InputFunctions.Utility_DisplayArrayInTable(Fertiliser_SourceData.Fertiliser_Products_Data3(), FertiliserProducts[[#Headers],[Company]],61)</f>
        <v/>
      </c>
      <c r="AF152" s="192" t="str" cm="1">
        <f t="array" ref="AF152">Common_InputFunctions.Utility_DisplayArrayInTable(Fertiliser_SourceData.Fertiliser_Products_Data3(), FertiliserProducts[[#Headers],[Company]],61)</f>
        <v/>
      </c>
      <c r="AG152" s="192" t="str" cm="1">
        <f t="array" ref="AG152">Common_InputFunctions.Utility_DisplayArrayInTable(Fertiliser_SourceData.Fertiliser_Products_Data3(), FertiliserProducts[[#Headers],[Company]],61)</f>
        <v/>
      </c>
      <c r="AH152" s="192" t="str" cm="1">
        <f t="array" ref="AH152">Common_InputFunctions.Utility_DisplayArrayInTable(Fertiliser_SourceData.Fertiliser_Products_Data3(), FertiliserProducts[[#Headers],[Company]],61)</f>
        <v/>
      </c>
      <c r="AK152" s="1"/>
      <c r="AL152" s="1"/>
      <c r="AM152" s="1"/>
    </row>
    <row r="153" spans="4:39" ht="20.100000000000001" customHeight="1" x14ac:dyDescent="0.25">
      <c r="D153" s="192" t="str" cm="1">
        <f t="array" ref="D153">Common_InputFunctions.Utility_DisplayArrayInTable(Fertiliser_SourceData.Fertiliser_Products_Data3(), FertiliserProducts[[#Headers],[Company]],61)</f>
        <v>Campbells fertilisers Australia</v>
      </c>
      <c r="E153" s="192" t="str" cm="1">
        <f t="array" ref="E153">Common_InputFunctions.Utility_DisplayArrayInTable(Fertiliser_SourceData.Fertiliser_Products_Data3(), FertiliserProducts[[#Headers],[Company]],61)</f>
        <v>Solu-Sam</v>
      </c>
      <c r="F153" s="192" t="str" cm="1">
        <f t="array" ref="F153">Common_InputFunctions.Utility_DisplayArrayInTable(Fertiliser_SourceData.Fertiliser_Products_Data3(), FertiliserProducts[[#Headers],[Company]],61)</f>
        <v>kg</v>
      </c>
      <c r="G153" s="192" cm="1">
        <f t="array" ref="G153">Common_InputFunctions.Utility_DisplayArrayInTable(Fertiliser_SourceData.Fertiliser_Products_Data3(), FertiliserProducts[[#Headers],[Company]],61)</f>
        <v>1</v>
      </c>
      <c r="H153" s="192" t="str" cm="1">
        <f t="array" ref="H153">Common_InputFunctions.Utility_DisplayArrayInTable(Fertiliser_SourceData.Fertiliser_Products_Data3(), FertiliserProducts[[#Headers],[Company]],61)</f>
        <v/>
      </c>
      <c r="I153" s="192" t="str" cm="1">
        <f t="array" ref="I153">Common_InputFunctions.Utility_DisplayArrayInTable(Fertiliser_SourceData.Fertiliser_Products_Data3(), FertiliserProducts[[#Headers],[Company]],61)</f>
        <v/>
      </c>
      <c r="J153" s="192" t="str" cm="1">
        <f t="array" ref="J153">Common_InputFunctions.Utility_DisplayArrayInTable(Fertiliser_SourceData.Fertiliser_Products_Data3(), FertiliserProducts[[#Headers],[Company]],61)</f>
        <v/>
      </c>
      <c r="K153" s="192" cm="1">
        <f t="array" ref="K153">Common_InputFunctions.Utility_DisplayArrayInTable(Fertiliser_SourceData.Fertiliser_Products_Data3(), FertiliserProducts[[#Headers],[Company]],61)</f>
        <v>21</v>
      </c>
      <c r="L153" s="192" t="str" cm="1">
        <f t="array" ref="L153">Common_InputFunctions.Utility_DisplayArrayInTable(Fertiliser_SourceData.Fertiliser_Products_Data3(), FertiliserProducts[[#Headers],[Company]],61)</f>
        <v/>
      </c>
      <c r="M153" s="192" t="str" cm="1">
        <f t="array" ref="M153">Common_InputFunctions.Utility_DisplayArrayInTable(Fertiliser_SourceData.Fertiliser_Products_Data3(), FertiliserProducts[[#Headers],[Company]],61)</f>
        <v/>
      </c>
      <c r="N153" s="192" cm="1">
        <f t="array" ref="N153">Common_InputFunctions.Utility_DisplayArrayInTable(Fertiliser_SourceData.Fertiliser_Products_Data3(), FertiliserProducts[[#Headers],[Company]],61)</f>
        <v>24</v>
      </c>
      <c r="O153" s="192" t="str" cm="1">
        <f t="array" ref="O153">Common_InputFunctions.Utility_DisplayArrayInTable(Fertiliser_SourceData.Fertiliser_Products_Data3(), FertiliserProducts[[#Headers],[Company]],61)</f>
        <v>Sulphate of ammonia (SOA)</v>
      </c>
      <c r="P153" s="192" cm="1">
        <f t="array" ref="P153">Common_InputFunctions.Utility_DisplayArrayInTable(Fertiliser_SourceData.Fertiliser_Products_Data3(), FertiliserProducts[[#Headers],[Company]],61)</f>
        <v>1</v>
      </c>
      <c r="Q153" s="192" t="str" cm="1">
        <f t="array" ref="Q153">Common_InputFunctions.Utility_DisplayArrayInTable(Fertiliser_SourceData.Fertiliser_Products_Data3(), FertiliserProducts[[#Headers],[Company]],61)</f>
        <v/>
      </c>
      <c r="R153" s="192" t="str" cm="1">
        <f t="array" ref="R153">Common_InputFunctions.Utility_DisplayArrayInTable(Fertiliser_SourceData.Fertiliser_Products_Data3(), FertiliserProducts[[#Headers],[Company]],61)</f>
        <v/>
      </c>
      <c r="S153" s="192" t="str" cm="1">
        <f t="array" ref="S153">Common_InputFunctions.Utility_DisplayArrayInTable(Fertiliser_SourceData.Fertiliser_Products_Data3(), FertiliserProducts[[#Headers],[Company]],61)</f>
        <v/>
      </c>
      <c r="T153" s="192" t="str" cm="1">
        <f t="array" ref="T153">Common_InputFunctions.Utility_DisplayArrayInTable(Fertiliser_SourceData.Fertiliser_Products_Data3(), FertiliserProducts[[#Headers],[Company]],61)</f>
        <v/>
      </c>
      <c r="U153" s="192" t="str" cm="1">
        <f t="array" ref="U153">Common_InputFunctions.Utility_DisplayArrayInTable(Fertiliser_SourceData.Fertiliser_Products_Data3(), FertiliserProducts[[#Headers],[Company]],61)</f>
        <v/>
      </c>
      <c r="V153" s="192" t="str" cm="1">
        <f t="array" ref="V153">Common_InputFunctions.Utility_DisplayArrayInTable(Fertiliser_SourceData.Fertiliser_Products_Data3(), FertiliserProducts[[#Headers],[Company]],61)</f>
        <v/>
      </c>
      <c r="W153" s="192" t="str" cm="1">
        <f t="array" ref="W153">Common_InputFunctions.Utility_DisplayArrayInTable(Fertiliser_SourceData.Fertiliser_Products_Data3(), FertiliserProducts[[#Headers],[Company]],61)</f>
        <v/>
      </c>
      <c r="X153" s="192" t="str" cm="1">
        <f t="array" ref="X153">Common_InputFunctions.Utility_DisplayArrayInTable(Fertiliser_SourceData.Fertiliser_Products_Data3(), FertiliserProducts[[#Headers],[Company]],61)</f>
        <v/>
      </c>
      <c r="Y153" s="192" t="str" cm="1">
        <f t="array" ref="Y153">Common_InputFunctions.Utility_DisplayArrayInTable(Fertiliser_SourceData.Fertiliser_Products_Data3(), FertiliserProducts[[#Headers],[Company]],61)</f>
        <v/>
      </c>
      <c r="Z153" s="192" t="str" cm="1">
        <f t="array" ref="Z153">Common_InputFunctions.Utility_DisplayArrayInTable(Fertiliser_SourceData.Fertiliser_Products_Data3(), FertiliserProducts[[#Headers],[Company]],61)</f>
        <v/>
      </c>
      <c r="AA153" s="192" t="str" cm="1">
        <f t="array" ref="AA153">Common_InputFunctions.Utility_DisplayArrayInTable(Fertiliser_SourceData.Fertiliser_Products_Data3(), FertiliserProducts[[#Headers],[Company]],61)</f>
        <v/>
      </c>
      <c r="AB153" s="192" t="str" cm="1">
        <f t="array" ref="AB153">Common_InputFunctions.Utility_DisplayArrayInTable(Fertiliser_SourceData.Fertiliser_Products_Data3(), FertiliserProducts[[#Headers],[Company]],61)</f>
        <v/>
      </c>
      <c r="AC153" s="192" t="str" cm="1">
        <f t="array" ref="AC153">Common_InputFunctions.Utility_DisplayArrayInTable(Fertiliser_SourceData.Fertiliser_Products_Data3(), FertiliserProducts[[#Headers],[Company]],61)</f>
        <v/>
      </c>
      <c r="AD153" s="192" t="str" cm="1">
        <f t="array" ref="AD153">Common_InputFunctions.Utility_DisplayArrayInTable(Fertiliser_SourceData.Fertiliser_Products_Data3(), FertiliserProducts[[#Headers],[Company]],61)</f>
        <v/>
      </c>
      <c r="AE153" s="192" t="str" cm="1">
        <f t="array" ref="AE153">Common_InputFunctions.Utility_DisplayArrayInTable(Fertiliser_SourceData.Fertiliser_Products_Data3(), FertiliserProducts[[#Headers],[Company]],61)</f>
        <v/>
      </c>
      <c r="AF153" s="192" t="str" cm="1">
        <f t="array" ref="AF153">Common_InputFunctions.Utility_DisplayArrayInTable(Fertiliser_SourceData.Fertiliser_Products_Data3(), FertiliserProducts[[#Headers],[Company]],61)</f>
        <v/>
      </c>
      <c r="AG153" s="192" t="str" cm="1">
        <f t="array" ref="AG153">Common_InputFunctions.Utility_DisplayArrayInTable(Fertiliser_SourceData.Fertiliser_Products_Data3(), FertiliserProducts[[#Headers],[Company]],61)</f>
        <v/>
      </c>
      <c r="AH153" s="192" t="str" cm="1">
        <f t="array" ref="AH153">Common_InputFunctions.Utility_DisplayArrayInTable(Fertiliser_SourceData.Fertiliser_Products_Data3(), FertiliserProducts[[#Headers],[Company]],61)</f>
        <v/>
      </c>
      <c r="AK153" s="1"/>
      <c r="AL153" s="1"/>
      <c r="AM153" s="1"/>
    </row>
    <row r="154" spans="4:39" ht="20.100000000000001" customHeight="1" x14ac:dyDescent="0.25">
      <c r="D154" s="192" t="str" cm="1">
        <f t="array" ref="D154">Common_InputFunctions.Utility_DisplayArrayInTable(Fertiliser_SourceData.Fertiliser_Products_Data3(), FertiliserProducts[[#Headers],[Company]],61)</f>
        <v>Campbells fertilisers Australia</v>
      </c>
      <c r="E154" s="192" t="str" cm="1">
        <f t="array" ref="E154">Common_InputFunctions.Utility_DisplayArrayInTable(Fertiliser_SourceData.Fertiliser_Products_Data3(), FertiliserProducts[[#Headers],[Company]],61)</f>
        <v>Rustica Plus</v>
      </c>
      <c r="F154" s="192" t="str" cm="1">
        <f t="array" ref="F154">Common_InputFunctions.Utility_DisplayArrayInTable(Fertiliser_SourceData.Fertiliser_Products_Data3(), FertiliserProducts[[#Headers],[Company]],61)</f>
        <v>kg</v>
      </c>
      <c r="G154" s="192" cm="1">
        <f t="array" ref="G154">Common_InputFunctions.Utility_DisplayArrayInTable(Fertiliser_SourceData.Fertiliser_Products_Data3(), FertiliserProducts[[#Headers],[Company]],61)</f>
        <v>1</v>
      </c>
      <c r="H154" s="192" t="str" cm="1">
        <f t="array" ref="H154">Common_InputFunctions.Utility_DisplayArrayInTable(Fertiliser_SourceData.Fertiliser_Products_Data3(), FertiliserProducts[[#Headers],[Company]],61)</f>
        <v/>
      </c>
      <c r="I154" s="192" t="str" cm="1">
        <f t="array" ref="I154">Common_InputFunctions.Utility_DisplayArrayInTable(Fertiliser_SourceData.Fertiliser_Products_Data3(), FertiliserProducts[[#Headers],[Company]],61)</f>
        <v/>
      </c>
      <c r="J154" s="192" t="str" cm="1">
        <f t="array" ref="J154">Common_InputFunctions.Utility_DisplayArrayInTable(Fertiliser_SourceData.Fertiliser_Products_Data3(), FertiliserProducts[[#Headers],[Company]],61)</f>
        <v/>
      </c>
      <c r="K154" s="192" cm="1">
        <f t="array" ref="K154">Common_InputFunctions.Utility_DisplayArrayInTable(Fertiliser_SourceData.Fertiliser_Products_Data3(), FertiliserProducts[[#Headers],[Company]],61)</f>
        <v>12</v>
      </c>
      <c r="L154" s="192" cm="1">
        <f t="array" ref="L154">Common_InputFunctions.Utility_DisplayArrayInTable(Fertiliser_SourceData.Fertiliser_Products_Data3(), FertiliserProducts[[#Headers],[Company]],61)</f>
        <v>5</v>
      </c>
      <c r="M154" s="192" cm="1">
        <f t="array" ref="M154">Common_InputFunctions.Utility_DisplayArrayInTable(Fertiliser_SourceData.Fertiliser_Products_Data3(), FertiliserProducts[[#Headers],[Company]],61)</f>
        <v>14</v>
      </c>
      <c r="N154" s="192" cm="1">
        <f t="array" ref="N154">Common_InputFunctions.Utility_DisplayArrayInTable(Fertiliser_SourceData.Fertiliser_Products_Data3(), FertiliserProducts[[#Headers],[Company]],61)</f>
        <v>9.6999999999999993</v>
      </c>
      <c r="O154" s="192" t="str" cm="1">
        <f t="array" ref="O154">Common_InputFunctions.Utility_DisplayArrayInTable(Fertiliser_SourceData.Fertiliser_Products_Data3(), FertiliserProducts[[#Headers],[Company]],61)</f>
        <v>Potassium - Generic</v>
      </c>
      <c r="P154" s="192" cm="1">
        <f t="array" ref="P154">Common_InputFunctions.Utility_DisplayArrayInTable(Fertiliser_SourceData.Fertiliser_Products_Data3(), FertiliserProducts[[#Headers],[Company]],61)</f>
        <v>0.14000000000000001</v>
      </c>
      <c r="Q154" s="192" t="str" cm="1">
        <f t="array" ref="Q154">Common_InputFunctions.Utility_DisplayArrayInTable(Fertiliser_SourceData.Fertiliser_Products_Data3(), FertiliserProducts[[#Headers],[Company]],61)</f>
        <v>Sulfur - Generic</v>
      </c>
      <c r="R154" s="192" cm="1">
        <f t="array" ref="R154">Common_InputFunctions.Utility_DisplayArrayInTable(Fertiliser_SourceData.Fertiliser_Products_Data3(), FertiliserProducts[[#Headers],[Company]],61)</f>
        <v>9.7000000000000003E-2</v>
      </c>
      <c r="S154" s="192" t="str" cm="1">
        <f t="array" ref="S154">Common_InputFunctions.Utility_DisplayArrayInTable(Fertiliser_SourceData.Fertiliser_Products_Data3(), FertiliserProducts[[#Headers],[Company]],61)</f>
        <v>Nitrogen - Nitrate</v>
      </c>
      <c r="T154" s="192" cm="1">
        <f t="array" ref="T154">Common_InputFunctions.Utility_DisplayArrayInTable(Fertiliser_SourceData.Fertiliser_Products_Data3(), FertiliserProducts[[#Headers],[Company]],61)</f>
        <v>0.06</v>
      </c>
      <c r="U154" s="192" t="str" cm="1">
        <f t="array" ref="U154">Common_InputFunctions.Utility_DisplayArrayInTable(Fertiliser_SourceData.Fertiliser_Products_Data3(), FertiliserProducts[[#Headers],[Company]],61)</f>
        <v>Nitrogen - Ammoniacal</v>
      </c>
      <c r="V154" s="192" cm="1">
        <f t="array" ref="V154">Common_InputFunctions.Utility_DisplayArrayInTable(Fertiliser_SourceData.Fertiliser_Products_Data3(), FertiliserProducts[[#Headers],[Company]],61)</f>
        <v>0.06</v>
      </c>
      <c r="W154" s="192" t="str" cm="1">
        <f t="array" ref="W154">Common_InputFunctions.Utility_DisplayArrayInTable(Fertiliser_SourceData.Fertiliser_Products_Data3(), FertiliserProducts[[#Headers],[Company]],61)</f>
        <v>Phosphorus - Generic</v>
      </c>
      <c r="X154" s="192" cm="1">
        <f t="array" ref="X154">Common_InputFunctions.Utility_DisplayArrayInTable(Fertiliser_SourceData.Fertiliser_Products_Data3(), FertiliserProducts[[#Headers],[Company]],61)</f>
        <v>0.05</v>
      </c>
      <c r="Y154" s="192" t="str" cm="1">
        <f t="array" ref="Y154">Common_InputFunctions.Utility_DisplayArrayInTable(Fertiliser_SourceData.Fertiliser_Products_Data3(), FertiliserProducts[[#Headers],[Company]],61)</f>
        <v>Calcium</v>
      </c>
      <c r="Z154" s="192" cm="1">
        <f t="array" ref="Z154">Common_InputFunctions.Utility_DisplayArrayInTable(Fertiliser_SourceData.Fertiliser_Products_Data3(), FertiliserProducts[[#Headers],[Company]],61)</f>
        <v>3.1E-2</v>
      </c>
      <c r="AA154" s="192" t="str" cm="1">
        <f t="array" ref="AA154">Common_InputFunctions.Utility_DisplayArrayInTable(Fertiliser_SourceData.Fertiliser_Products_Data3(), FertiliserProducts[[#Headers],[Company]],61)</f>
        <v>Magnesium</v>
      </c>
      <c r="AB154" s="192" cm="1">
        <f t="array" ref="AB154">Common_InputFunctions.Utility_DisplayArrayInTable(Fertiliser_SourceData.Fertiliser_Products_Data3(), FertiliserProducts[[#Headers],[Company]],61)</f>
        <v>1.2E-2</v>
      </c>
      <c r="AC154" s="192" t="str" cm="1">
        <f t="array" ref="AC154">Common_InputFunctions.Utility_DisplayArrayInTable(Fertiliser_SourceData.Fertiliser_Products_Data3(), FertiliserProducts[[#Headers],[Company]],61)</f>
        <v>Zinc</v>
      </c>
      <c r="AD154" s="192" cm="1">
        <f t="array" ref="AD154">Common_InputFunctions.Utility_DisplayArrayInTable(Fertiliser_SourceData.Fertiliser_Products_Data3(), FertiliserProducts[[#Headers],[Company]],61)</f>
        <v>1E-3</v>
      </c>
      <c r="AE154" s="192" t="str" cm="1">
        <f t="array" ref="AE154">Common_InputFunctions.Utility_DisplayArrayInTable(Fertiliser_SourceData.Fertiliser_Products_Data3(), FertiliserProducts[[#Headers],[Company]],61)</f>
        <v>Boron</v>
      </c>
      <c r="AF154" s="192" cm="1">
        <f t="array" ref="AF154">Common_InputFunctions.Utility_DisplayArrayInTable(Fertiliser_SourceData.Fertiliser_Products_Data3(), FertiliserProducts[[#Headers],[Company]],61)</f>
        <v>2.0000000000000001E-4</v>
      </c>
      <c r="AG154" s="192" t="str" cm="1">
        <f t="array" ref="AG154">Common_InputFunctions.Utility_DisplayArrayInTable(Fertiliser_SourceData.Fertiliser_Products_Data3(), FertiliserProducts[[#Headers],[Company]],61)</f>
        <v/>
      </c>
      <c r="AH154" s="192" t="str" cm="1">
        <f t="array" ref="AH154">Common_InputFunctions.Utility_DisplayArrayInTable(Fertiliser_SourceData.Fertiliser_Products_Data3(), FertiliserProducts[[#Headers],[Company]],61)</f>
        <v/>
      </c>
      <c r="AK154" s="1"/>
    </row>
    <row r="155" spans="4:39" ht="20.100000000000001" customHeight="1" x14ac:dyDescent="0.25">
      <c r="D155" s="192" t="str" cm="1">
        <f t="array" ref="D155">Common_InputFunctions.Utility_DisplayArrayInTable(Fertiliser_SourceData.Fertiliser_Products_Data3(), FertiliserProducts[[#Headers],[Company]],61)</f>
        <v>Campbells fertilisers Australia</v>
      </c>
      <c r="E155" s="192" t="str" cm="1">
        <f t="array" ref="E155">Common_InputFunctions.Utility_DisplayArrayInTable(Fertiliser_SourceData.Fertiliser_Products_Data3(), FertiliserProducts[[#Headers],[Company]],61)</f>
        <v>Platinum Plus</v>
      </c>
      <c r="F155" s="192" t="str" cm="1">
        <f t="array" ref="F155">Common_InputFunctions.Utility_DisplayArrayInTable(Fertiliser_SourceData.Fertiliser_Products_Data3(), FertiliserProducts[[#Headers],[Company]],61)</f>
        <v>kg</v>
      </c>
      <c r="G155" s="192" cm="1">
        <f t="array" ref="G155">Common_InputFunctions.Utility_DisplayArrayInTable(Fertiliser_SourceData.Fertiliser_Products_Data3(), FertiliserProducts[[#Headers],[Company]],61)</f>
        <v>1</v>
      </c>
      <c r="H155" s="192" t="str" cm="1">
        <f t="array" ref="H155">Common_InputFunctions.Utility_DisplayArrayInTable(Fertiliser_SourceData.Fertiliser_Products_Data3(), FertiliserProducts[[#Headers],[Company]],61)</f>
        <v/>
      </c>
      <c r="I155" s="192" t="str" cm="1">
        <f t="array" ref="I155">Common_InputFunctions.Utility_DisplayArrayInTable(Fertiliser_SourceData.Fertiliser_Products_Data3(), FertiliserProducts[[#Headers],[Company]],61)</f>
        <v/>
      </c>
      <c r="J155" s="192" t="str" cm="1">
        <f t="array" ref="J155">Common_InputFunctions.Utility_DisplayArrayInTable(Fertiliser_SourceData.Fertiliser_Products_Data3(), FertiliserProducts[[#Headers],[Company]],61)</f>
        <v/>
      </c>
      <c r="K155" s="192" cm="1">
        <f t="array" ref="K155">Common_InputFunctions.Utility_DisplayArrayInTable(Fertiliser_SourceData.Fertiliser_Products_Data3(), FertiliserProducts[[#Headers],[Company]],61)</f>
        <v>10</v>
      </c>
      <c r="L155" s="192" cm="1">
        <f t="array" ref="L155">Common_InputFunctions.Utility_DisplayArrayInTable(Fertiliser_SourceData.Fertiliser_Products_Data3(), FertiliserProducts[[#Headers],[Company]],61)</f>
        <v>11</v>
      </c>
      <c r="M155" s="192" cm="1">
        <f t="array" ref="M155">Common_InputFunctions.Utility_DisplayArrayInTable(Fertiliser_SourceData.Fertiliser_Products_Data3(), FertiliserProducts[[#Headers],[Company]],61)</f>
        <v>10</v>
      </c>
      <c r="N155" s="192" cm="1">
        <f t="array" ref="N155">Common_InputFunctions.Utility_DisplayArrayInTable(Fertiliser_SourceData.Fertiliser_Products_Data3(), FertiliserProducts[[#Headers],[Company]],61)</f>
        <v>6</v>
      </c>
      <c r="O155" s="192" t="str" cm="1">
        <f t="array" ref="O155">Common_InputFunctions.Utility_DisplayArrayInTable(Fertiliser_SourceData.Fertiliser_Products_Data3(), FertiliserProducts[[#Headers],[Company]],61)</f>
        <v>Phosphorus - Generic</v>
      </c>
      <c r="P155" s="192" cm="1">
        <f t="array" ref="P155">Common_InputFunctions.Utility_DisplayArrayInTable(Fertiliser_SourceData.Fertiliser_Products_Data3(), FertiliserProducts[[#Headers],[Company]],61)</f>
        <v>0.11</v>
      </c>
      <c r="Q155" s="192" t="str" cm="1">
        <f t="array" ref="Q155">Common_InputFunctions.Utility_DisplayArrayInTable(Fertiliser_SourceData.Fertiliser_Products_Data3(), FertiliserProducts[[#Headers],[Company]],61)</f>
        <v>Potassium - Generic</v>
      </c>
      <c r="R155" s="192" cm="1">
        <f t="array" ref="R155">Common_InputFunctions.Utility_DisplayArrayInTable(Fertiliser_SourceData.Fertiliser_Products_Data3(), FertiliserProducts[[#Headers],[Company]],61)</f>
        <v>0.1</v>
      </c>
      <c r="S155" s="192" t="str" cm="1">
        <f t="array" ref="S155">Common_InputFunctions.Utility_DisplayArrayInTable(Fertiliser_SourceData.Fertiliser_Products_Data3(), FertiliserProducts[[#Headers],[Company]],61)</f>
        <v>Sulfur - Generic</v>
      </c>
      <c r="T155" s="192" cm="1">
        <f t="array" ref="T155">Common_InputFunctions.Utility_DisplayArrayInTable(Fertiliser_SourceData.Fertiliser_Products_Data3(), FertiliserProducts[[#Headers],[Company]],61)</f>
        <v>0.06</v>
      </c>
      <c r="U155" s="192" t="str" cm="1">
        <f t="array" ref="U155">Common_InputFunctions.Utility_DisplayArrayInTable(Fertiliser_SourceData.Fertiliser_Products_Data3(), FertiliserProducts[[#Headers],[Company]],61)</f>
        <v>Nitrogen - Nitrate</v>
      </c>
      <c r="V155" s="192" cm="1">
        <f t="array" ref="V155">Common_InputFunctions.Utility_DisplayArrayInTable(Fertiliser_SourceData.Fertiliser_Products_Data3(), FertiliserProducts[[#Headers],[Company]],61)</f>
        <v>0.05</v>
      </c>
      <c r="W155" s="192" t="str" cm="1">
        <f t="array" ref="W155">Common_InputFunctions.Utility_DisplayArrayInTable(Fertiliser_SourceData.Fertiliser_Products_Data3(), FertiliserProducts[[#Headers],[Company]],61)</f>
        <v>Nitrogen - Ammoniacal</v>
      </c>
      <c r="X155" s="192" cm="1">
        <f t="array" ref="X155">Common_InputFunctions.Utility_DisplayArrayInTable(Fertiliser_SourceData.Fertiliser_Products_Data3(), FertiliserProducts[[#Headers],[Company]],61)</f>
        <v>0.05</v>
      </c>
      <c r="Y155" s="192" t="str" cm="1">
        <f t="array" ref="Y155">Common_InputFunctions.Utility_DisplayArrayInTable(Fertiliser_SourceData.Fertiliser_Products_Data3(), FertiliserProducts[[#Headers],[Company]],61)</f>
        <v>Calcium</v>
      </c>
      <c r="Z155" s="192" cm="1">
        <f t="array" ref="Z155">Common_InputFunctions.Utility_DisplayArrayInTable(Fertiliser_SourceData.Fertiliser_Products_Data3(), FertiliserProducts[[#Headers],[Company]],61)</f>
        <v>4.2999999999999997E-2</v>
      </c>
      <c r="AA155" s="192" t="str" cm="1">
        <f t="array" ref="AA155">Common_InputFunctions.Utility_DisplayArrayInTable(Fertiliser_SourceData.Fertiliser_Products_Data3(), FertiliserProducts[[#Headers],[Company]],61)</f>
        <v>Magnesium</v>
      </c>
      <c r="AB155" s="192" cm="1">
        <f t="array" ref="AB155">Common_InputFunctions.Utility_DisplayArrayInTable(Fertiliser_SourceData.Fertiliser_Products_Data3(), FertiliserProducts[[#Headers],[Company]],61)</f>
        <v>1.2E-2</v>
      </c>
      <c r="AC155" s="192" t="str" cm="1">
        <f t="array" ref="AC155">Common_InputFunctions.Utility_DisplayArrayInTable(Fertiliser_SourceData.Fertiliser_Products_Data3(), FertiliserProducts[[#Headers],[Company]],61)</f>
        <v>Zinc</v>
      </c>
      <c r="AD155" s="192" cm="1">
        <f t="array" ref="AD155">Common_InputFunctions.Utility_DisplayArrayInTable(Fertiliser_SourceData.Fertiliser_Products_Data3(), FertiliserProducts[[#Headers],[Company]],61)</f>
        <v>3.5999999999999999E-3</v>
      </c>
      <c r="AE155" s="192" t="str" cm="1">
        <f t="array" ref="AE155">Common_InputFunctions.Utility_DisplayArrayInTable(Fertiliser_SourceData.Fertiliser_Products_Data3(), FertiliserProducts[[#Headers],[Company]],61)</f>
        <v>Boron</v>
      </c>
      <c r="AF155" s="192" cm="1">
        <f t="array" ref="AF155">Common_InputFunctions.Utility_DisplayArrayInTable(Fertiliser_SourceData.Fertiliser_Products_Data3(), FertiliserProducts[[#Headers],[Company]],61)</f>
        <v>1E-3</v>
      </c>
      <c r="AG155" s="192" t="str" cm="1">
        <f t="array" ref="AG155">Common_InputFunctions.Utility_DisplayArrayInTable(Fertiliser_SourceData.Fertiliser_Products_Data3(), FertiliserProducts[[#Headers],[Company]],61)</f>
        <v/>
      </c>
      <c r="AH155" s="192" t="str" cm="1">
        <f t="array" ref="AH155">Common_InputFunctions.Utility_DisplayArrayInTable(Fertiliser_SourceData.Fertiliser_Products_Data3(), FertiliserProducts[[#Headers],[Company]],61)</f>
        <v/>
      </c>
      <c r="AK155" s="1"/>
    </row>
    <row r="156" spans="4:39" ht="20.100000000000001" customHeight="1" x14ac:dyDescent="0.25">
      <c r="D156" s="192" t="str" cm="1">
        <f t="array" ref="D156">Common_InputFunctions.Utility_DisplayArrayInTable(Fertiliser_SourceData.Fertiliser_Products_Data3(), FertiliserProducts[[#Headers],[Company]],61)</f>
        <v>Campbells fertilisers Australia</v>
      </c>
      <c r="E156" s="192" t="str" cm="1">
        <f t="array" ref="E156">Common_InputFunctions.Utility_DisplayArrayInTable(Fertiliser_SourceData.Fertiliser_Products_Data3(), FertiliserProducts[[#Headers],[Company]],61)</f>
        <v>Tropika</v>
      </c>
      <c r="F156" s="192" t="str" cm="1">
        <f t="array" ref="F156">Common_InputFunctions.Utility_DisplayArrayInTable(Fertiliser_SourceData.Fertiliser_Products_Data3(), FertiliserProducts[[#Headers],[Company]],61)</f>
        <v>kg</v>
      </c>
      <c r="G156" s="192" cm="1">
        <f t="array" ref="G156">Common_InputFunctions.Utility_DisplayArrayInTable(Fertiliser_SourceData.Fertiliser_Products_Data3(), FertiliserProducts[[#Headers],[Company]],61)</f>
        <v>1</v>
      </c>
      <c r="H156" s="192" t="str" cm="1">
        <f t="array" ref="H156">Common_InputFunctions.Utility_DisplayArrayInTable(Fertiliser_SourceData.Fertiliser_Products_Data3(), FertiliserProducts[[#Headers],[Company]],61)</f>
        <v/>
      </c>
      <c r="I156" s="192" t="str" cm="1">
        <f t="array" ref="I156">Common_InputFunctions.Utility_DisplayArrayInTable(Fertiliser_SourceData.Fertiliser_Products_Data3(), FertiliserProducts[[#Headers],[Company]],61)</f>
        <v/>
      </c>
      <c r="J156" s="192" t="str" cm="1">
        <f t="array" ref="J156">Common_InputFunctions.Utility_DisplayArrayInTable(Fertiliser_SourceData.Fertiliser_Products_Data3(), FertiliserProducts[[#Headers],[Company]],61)</f>
        <v/>
      </c>
      <c r="K156" s="192" cm="1">
        <f t="array" ref="K156">Common_InputFunctions.Utility_DisplayArrayInTable(Fertiliser_SourceData.Fertiliser_Products_Data3(), FertiliserProducts[[#Headers],[Company]],61)</f>
        <v>11</v>
      </c>
      <c r="L156" s="192" cm="1">
        <f t="array" ref="L156">Common_InputFunctions.Utility_DisplayArrayInTable(Fertiliser_SourceData.Fertiliser_Products_Data3(), FertiliserProducts[[#Headers],[Company]],61)</f>
        <v>2.6</v>
      </c>
      <c r="M156" s="192" cm="1">
        <f t="array" ref="M156">Common_InputFunctions.Utility_DisplayArrayInTable(Fertiliser_SourceData.Fertiliser_Products_Data3(), FertiliserProducts[[#Headers],[Company]],61)</f>
        <v>20.8</v>
      </c>
      <c r="N156" s="192" cm="1">
        <f t="array" ref="N156">Common_InputFunctions.Utility_DisplayArrayInTable(Fertiliser_SourceData.Fertiliser_Products_Data3(), FertiliserProducts[[#Headers],[Company]],61)</f>
        <v>4</v>
      </c>
      <c r="O156" s="192" t="str" cm="1">
        <f t="array" ref="O156">Common_InputFunctions.Utility_DisplayArrayInTable(Fertiliser_SourceData.Fertiliser_Products_Data3(), FertiliserProducts[[#Headers],[Company]],61)</f>
        <v>Nitrogen - Nitrate</v>
      </c>
      <c r="P156" s="192" cm="1">
        <f t="array" ref="P156">Common_InputFunctions.Utility_DisplayArrayInTable(Fertiliser_SourceData.Fertiliser_Products_Data3(), FertiliserProducts[[#Headers],[Company]],61)</f>
        <v>5.5E-2</v>
      </c>
      <c r="Q156" s="192" t="str" cm="1">
        <f t="array" ref="Q156">Common_InputFunctions.Utility_DisplayArrayInTable(Fertiliser_SourceData.Fertiliser_Products_Data3(), FertiliserProducts[[#Headers],[Company]],61)</f>
        <v>Nitrogen - Ammoniacal</v>
      </c>
      <c r="R156" s="192" cm="1">
        <f t="array" ref="R156">Common_InputFunctions.Utility_DisplayArrayInTable(Fertiliser_SourceData.Fertiliser_Products_Data3(), FertiliserProducts[[#Headers],[Company]],61)</f>
        <v>5.5E-2</v>
      </c>
      <c r="S156" s="192" t="str" cm="1">
        <f t="array" ref="S156">Common_InputFunctions.Utility_DisplayArrayInTable(Fertiliser_SourceData.Fertiliser_Products_Data3(), FertiliserProducts[[#Headers],[Company]],61)</f>
        <v>Phosphorus - Generic</v>
      </c>
      <c r="T156" s="192" cm="1">
        <f t="array" ref="T156">Common_InputFunctions.Utility_DisplayArrayInTable(Fertiliser_SourceData.Fertiliser_Products_Data3(), FertiliserProducts[[#Headers],[Company]],61)</f>
        <v>2.5999999999999999E-2</v>
      </c>
      <c r="U156" s="192" t="str" cm="1">
        <f t="array" ref="U156">Common_InputFunctions.Utility_DisplayArrayInTable(Fertiliser_SourceData.Fertiliser_Products_Data3(), FertiliserProducts[[#Headers],[Company]],61)</f>
        <v>Potassium - Generic</v>
      </c>
      <c r="V156" s="192" cm="1">
        <f t="array" ref="V156">Common_InputFunctions.Utility_DisplayArrayInTable(Fertiliser_SourceData.Fertiliser_Products_Data3(), FertiliserProducts[[#Headers],[Company]],61)</f>
        <v>0.20799999999999999</v>
      </c>
      <c r="W156" s="192" t="str" cm="1">
        <f t="array" ref="W156">Common_InputFunctions.Utility_DisplayArrayInTable(Fertiliser_SourceData.Fertiliser_Products_Data3(), FertiliserProducts[[#Headers],[Company]],61)</f>
        <v>Sulfur - Generic</v>
      </c>
      <c r="X156" s="192" cm="1">
        <f t="array" ref="X156">Common_InputFunctions.Utility_DisplayArrayInTable(Fertiliser_SourceData.Fertiliser_Products_Data3(), FertiliserProducts[[#Headers],[Company]],61)</f>
        <v>0.04</v>
      </c>
      <c r="Y156" s="192" t="str" cm="1">
        <f t="array" ref="Y156">Common_InputFunctions.Utility_DisplayArrayInTable(Fertiliser_SourceData.Fertiliser_Products_Data3(), FertiliserProducts[[#Headers],[Company]],61)</f>
        <v>Magnesium</v>
      </c>
      <c r="Z156" s="192" cm="1">
        <f t="array" ref="Z156">Common_InputFunctions.Utility_DisplayArrayInTable(Fertiliser_SourceData.Fertiliser_Products_Data3(), FertiliserProducts[[#Headers],[Company]],61)</f>
        <v>2.4E-2</v>
      </c>
      <c r="AA156" s="192" t="str" cm="1">
        <f t="array" ref="AA156">Common_InputFunctions.Utility_DisplayArrayInTable(Fertiliser_SourceData.Fertiliser_Products_Data3(), FertiliserProducts[[#Headers],[Company]],61)</f>
        <v/>
      </c>
      <c r="AB156" s="192" t="str" cm="1">
        <f t="array" ref="AB156">Common_InputFunctions.Utility_DisplayArrayInTable(Fertiliser_SourceData.Fertiliser_Products_Data3(), FertiliserProducts[[#Headers],[Company]],61)</f>
        <v/>
      </c>
      <c r="AC156" s="192" t="str" cm="1">
        <f t="array" ref="AC156">Common_InputFunctions.Utility_DisplayArrayInTable(Fertiliser_SourceData.Fertiliser_Products_Data3(), FertiliserProducts[[#Headers],[Company]],61)</f>
        <v/>
      </c>
      <c r="AD156" s="192" t="str" cm="1">
        <f t="array" ref="AD156">Common_InputFunctions.Utility_DisplayArrayInTable(Fertiliser_SourceData.Fertiliser_Products_Data3(), FertiliserProducts[[#Headers],[Company]],61)</f>
        <v/>
      </c>
      <c r="AE156" s="192" t="str" cm="1">
        <f t="array" ref="AE156">Common_InputFunctions.Utility_DisplayArrayInTable(Fertiliser_SourceData.Fertiliser_Products_Data3(), FertiliserProducts[[#Headers],[Company]],61)</f>
        <v/>
      </c>
      <c r="AF156" s="192" t="str" cm="1">
        <f t="array" ref="AF156">Common_InputFunctions.Utility_DisplayArrayInTable(Fertiliser_SourceData.Fertiliser_Products_Data3(), FertiliserProducts[[#Headers],[Company]],61)</f>
        <v/>
      </c>
      <c r="AG156" s="192" t="str" cm="1">
        <f t="array" ref="AG156">Common_InputFunctions.Utility_DisplayArrayInTable(Fertiliser_SourceData.Fertiliser_Products_Data3(), FertiliserProducts[[#Headers],[Company]],61)</f>
        <v/>
      </c>
      <c r="AH156" s="192" t="str" cm="1">
        <f t="array" ref="AH156">Common_InputFunctions.Utility_DisplayArrayInTable(Fertiliser_SourceData.Fertiliser_Products_Data3(), FertiliserProducts[[#Headers],[Company]],61)</f>
        <v/>
      </c>
      <c r="AK156" s="1"/>
    </row>
    <row r="157" spans="4:39" ht="20.100000000000001" customHeight="1" x14ac:dyDescent="0.25">
      <c r="D157" s="192" t="str" cm="1">
        <f t="array" ref="D157">Common_InputFunctions.Utility_DisplayArrayInTable(Fertiliser_SourceData.Fertiliser_Products_Data3(), FertiliserProducts[[#Headers],[Company]],61)</f>
        <v>Campbells fertilisers Australia</v>
      </c>
      <c r="E157" s="192" t="str" cm="1">
        <f t="array" ref="E157">Common_InputFunctions.Utility_DisplayArrayInTable(Fertiliser_SourceData.Fertiliser_Products_Data3(), FertiliserProducts[[#Headers],[Company]],61)</f>
        <v>Rustica Nergetic</v>
      </c>
      <c r="F157" s="192" t="str" cm="1">
        <f t="array" ref="F157">Common_InputFunctions.Utility_DisplayArrayInTable(Fertiliser_SourceData.Fertiliser_Products_Data3(), FertiliserProducts[[#Headers],[Company]],61)</f>
        <v>kg</v>
      </c>
      <c r="G157" s="192" cm="1">
        <f t="array" ref="G157">Common_InputFunctions.Utility_DisplayArrayInTable(Fertiliser_SourceData.Fertiliser_Products_Data3(), FertiliserProducts[[#Headers],[Company]],61)</f>
        <v>1</v>
      </c>
      <c r="H157" s="192" t="str" cm="1">
        <f t="array" ref="H157">Common_InputFunctions.Utility_DisplayArrayInTable(Fertiliser_SourceData.Fertiliser_Products_Data3(), FertiliserProducts[[#Headers],[Company]],61)</f>
        <v/>
      </c>
      <c r="I157" s="192" t="str" cm="1">
        <f t="array" ref="I157">Common_InputFunctions.Utility_DisplayArrayInTable(Fertiliser_SourceData.Fertiliser_Products_Data3(), FertiliserProducts[[#Headers],[Company]],61)</f>
        <v/>
      </c>
      <c r="J157" s="192" t="str" cm="1">
        <f t="array" ref="J157">Common_InputFunctions.Utility_DisplayArrayInTable(Fertiliser_SourceData.Fertiliser_Products_Data3(), FertiliserProducts[[#Headers],[Company]],61)</f>
        <v/>
      </c>
      <c r="K157" s="192" cm="1">
        <f t="array" ref="K157">Common_InputFunctions.Utility_DisplayArrayInTable(Fertiliser_SourceData.Fertiliser_Products_Data3(), FertiliserProducts[[#Headers],[Company]],61)</f>
        <v>12</v>
      </c>
      <c r="L157" s="192" cm="1">
        <f t="array" ref="L157">Common_InputFunctions.Utility_DisplayArrayInTable(Fertiliser_SourceData.Fertiliser_Products_Data3(), FertiliserProducts[[#Headers],[Company]],61)</f>
        <v>5.2</v>
      </c>
      <c r="M157" s="192" cm="1">
        <f t="array" ref="M157">Common_InputFunctions.Utility_DisplayArrayInTable(Fertiliser_SourceData.Fertiliser_Products_Data3(), FertiliserProducts[[#Headers],[Company]],61)</f>
        <v>14.1</v>
      </c>
      <c r="N157" s="192" cm="1">
        <f t="array" ref="N157">Common_InputFunctions.Utility_DisplayArrayInTable(Fertiliser_SourceData.Fertiliser_Products_Data3(), FertiliserProducts[[#Headers],[Company]],61)</f>
        <v>9.6</v>
      </c>
      <c r="O157" s="192" t="str" cm="1">
        <f t="array" ref="O157">Common_InputFunctions.Utility_DisplayArrayInTable(Fertiliser_SourceData.Fertiliser_Products_Data3(), FertiliserProducts[[#Headers],[Company]],61)</f>
        <v>Potassium - Generic</v>
      </c>
      <c r="P157" s="192" cm="1">
        <f t="array" ref="P157">Common_InputFunctions.Utility_DisplayArrayInTable(Fertiliser_SourceData.Fertiliser_Products_Data3(), FertiliserProducts[[#Headers],[Company]],61)</f>
        <v>0.14099999999999999</v>
      </c>
      <c r="Q157" s="192" t="str" cm="1">
        <f t="array" ref="Q157">Common_InputFunctions.Utility_DisplayArrayInTable(Fertiliser_SourceData.Fertiliser_Products_Data3(), FertiliserProducts[[#Headers],[Company]],61)</f>
        <v>Sulfur - Generic</v>
      </c>
      <c r="R157" s="192" cm="1">
        <f t="array" ref="R157">Common_InputFunctions.Utility_DisplayArrayInTable(Fertiliser_SourceData.Fertiliser_Products_Data3(), FertiliserProducts[[#Headers],[Company]],61)</f>
        <v>9.6000000000000002E-2</v>
      </c>
      <c r="S157" s="192" t="str" cm="1">
        <f t="array" ref="S157">Common_InputFunctions.Utility_DisplayArrayInTable(Fertiliser_SourceData.Fertiliser_Products_Data3(), FertiliserProducts[[#Headers],[Company]],61)</f>
        <v>Nitrogen - Nitrate</v>
      </c>
      <c r="T157" s="192" cm="1">
        <f t="array" ref="T157">Common_InputFunctions.Utility_DisplayArrayInTable(Fertiliser_SourceData.Fertiliser_Products_Data3(), FertiliserProducts[[#Headers],[Company]],61)</f>
        <v>0.06</v>
      </c>
      <c r="U157" s="192" t="str" cm="1">
        <f t="array" ref="U157">Common_InputFunctions.Utility_DisplayArrayInTable(Fertiliser_SourceData.Fertiliser_Products_Data3(), FertiliserProducts[[#Headers],[Company]],61)</f>
        <v>Nitrogen - Ammoniacal</v>
      </c>
      <c r="V157" s="192" cm="1">
        <f t="array" ref="V157">Common_InputFunctions.Utility_DisplayArrayInTable(Fertiliser_SourceData.Fertiliser_Products_Data3(), FertiliserProducts[[#Headers],[Company]],61)</f>
        <v>0.06</v>
      </c>
      <c r="W157" s="192" t="str" cm="1">
        <f t="array" ref="W157">Common_InputFunctions.Utility_DisplayArrayInTable(Fertiliser_SourceData.Fertiliser_Products_Data3(), FertiliserProducts[[#Headers],[Company]],61)</f>
        <v>Phosphorus - Generic</v>
      </c>
      <c r="X157" s="192" cm="1">
        <f t="array" ref="X157">Common_InputFunctions.Utility_DisplayArrayInTable(Fertiliser_SourceData.Fertiliser_Products_Data3(), FertiliserProducts[[#Headers],[Company]],61)</f>
        <v>5.1999999999999998E-2</v>
      </c>
      <c r="Y157" s="192" t="str" cm="1">
        <f t="array" ref="Y157">Common_InputFunctions.Utility_DisplayArrayInTable(Fertiliser_SourceData.Fertiliser_Products_Data3(), FertiliserProducts[[#Headers],[Company]],61)</f>
        <v>Magnesium</v>
      </c>
      <c r="Z157" s="192" cm="1">
        <f t="array" ref="Z157">Common_InputFunctions.Utility_DisplayArrayInTable(Fertiliser_SourceData.Fertiliser_Products_Data3(), FertiliserProducts[[#Headers],[Company]],61)</f>
        <v>1.2E-2</v>
      </c>
      <c r="AA157" s="192" t="str" cm="1">
        <f t="array" ref="AA157">Common_InputFunctions.Utility_DisplayArrayInTable(Fertiliser_SourceData.Fertiliser_Products_Data3(), FertiliserProducts[[#Headers],[Company]],61)</f>
        <v>Zinc</v>
      </c>
      <c r="AB157" s="192" cm="1">
        <f t="array" ref="AB157">Common_InputFunctions.Utility_DisplayArrayInTable(Fertiliser_SourceData.Fertiliser_Products_Data3(), FertiliserProducts[[#Headers],[Company]],61)</f>
        <v>8.0000000000000004E-4</v>
      </c>
      <c r="AC157" s="192" t="str" cm="1">
        <f t="array" ref="AC157">Common_InputFunctions.Utility_DisplayArrayInTable(Fertiliser_SourceData.Fertiliser_Products_Data3(), FertiliserProducts[[#Headers],[Company]],61)</f>
        <v>Iron</v>
      </c>
      <c r="AD157" s="192" cm="1">
        <f t="array" ref="AD157">Common_InputFunctions.Utility_DisplayArrayInTable(Fertiliser_SourceData.Fertiliser_Products_Data3(), FertiliserProducts[[#Headers],[Company]],61)</f>
        <v>6.9999999999999999E-4</v>
      </c>
      <c r="AE157" s="192" t="str" cm="1">
        <f t="array" ref="AE157">Common_InputFunctions.Utility_DisplayArrayInTable(Fertiliser_SourceData.Fertiliser_Products_Data3(), FertiliserProducts[[#Headers],[Company]],61)</f>
        <v>Manganese</v>
      </c>
      <c r="AF157" s="192" cm="1">
        <f t="array" ref="AF157">Common_InputFunctions.Utility_DisplayArrayInTable(Fertiliser_SourceData.Fertiliser_Products_Data3(), FertiliserProducts[[#Headers],[Company]],61)</f>
        <v>5.9999999999999995E-4</v>
      </c>
      <c r="AG157" s="192" t="str" cm="1">
        <f t="array" ref="AG157">Common_InputFunctions.Utility_DisplayArrayInTable(Fertiliser_SourceData.Fertiliser_Products_Data3(), FertiliserProducts[[#Headers],[Company]],61)</f>
        <v>Boron</v>
      </c>
      <c r="AH157" s="192" cm="1">
        <f t="array" ref="AH157">Common_InputFunctions.Utility_DisplayArrayInTable(Fertiliser_SourceData.Fertiliser_Products_Data3(), FertiliserProducts[[#Headers],[Company]],61)</f>
        <v>2.0000000000000001E-4</v>
      </c>
      <c r="AK157" s="1"/>
    </row>
    <row r="158" spans="4:39" ht="20.100000000000001" customHeight="1" x14ac:dyDescent="0.25">
      <c r="D158" s="192" t="str" cm="1">
        <f t="array" ref="D158">Common_InputFunctions.Utility_DisplayArrayInTable(Fertiliser_SourceData.Fertiliser_Products_Data3(), FertiliserProducts[[#Headers],[Company]],61)</f>
        <v>Campbells fertilisers Australia</v>
      </c>
      <c r="E158" s="192" t="str" cm="1">
        <f t="array" ref="E158">Common_InputFunctions.Utility_DisplayArrayInTable(Fertiliser_SourceData.Fertiliser_Products_Data3(), FertiliserProducts[[#Headers],[Company]],61)</f>
        <v>Quick-N Nergetic</v>
      </c>
      <c r="F158" s="192" t="str" cm="1">
        <f t="array" ref="F158">Common_InputFunctions.Utility_DisplayArrayInTable(Fertiliser_SourceData.Fertiliser_Products_Data3(), FertiliserProducts[[#Headers],[Company]],61)</f>
        <v>kg</v>
      </c>
      <c r="G158" s="192" cm="1">
        <f t="array" ref="G158">Common_InputFunctions.Utility_DisplayArrayInTable(Fertiliser_SourceData.Fertiliser_Products_Data3(), FertiliserProducts[[#Headers],[Company]],61)</f>
        <v>1</v>
      </c>
      <c r="H158" s="192" t="str" cm="1">
        <f t="array" ref="H158">Common_InputFunctions.Utility_DisplayArrayInTable(Fertiliser_SourceData.Fertiliser_Products_Data3(), FertiliserProducts[[#Headers],[Company]],61)</f>
        <v/>
      </c>
      <c r="I158" s="192" t="str" cm="1">
        <f t="array" ref="I158">Common_InputFunctions.Utility_DisplayArrayInTable(Fertiliser_SourceData.Fertiliser_Products_Data3(), FertiliserProducts[[#Headers],[Company]],61)</f>
        <v/>
      </c>
      <c r="J158" s="192" t="str" cm="1">
        <f t="array" ref="J158">Common_InputFunctions.Utility_DisplayArrayInTable(Fertiliser_SourceData.Fertiliser_Products_Data3(), FertiliserProducts[[#Headers],[Company]],61)</f>
        <v/>
      </c>
      <c r="K158" s="192" cm="1">
        <f t="array" ref="K158">Common_InputFunctions.Utility_DisplayArrayInTable(Fertiliser_SourceData.Fertiliser_Products_Data3(), FertiliserProducts[[#Headers],[Company]],61)</f>
        <v>25</v>
      </c>
      <c r="L158" s="192" t="str" cm="1">
        <f t="array" ref="L158">Common_InputFunctions.Utility_DisplayArrayInTable(Fertiliser_SourceData.Fertiliser_Products_Data3(), FertiliserProducts[[#Headers],[Company]],61)</f>
        <v/>
      </c>
      <c r="M158" s="192" t="str" cm="1">
        <f t="array" ref="M158">Common_InputFunctions.Utility_DisplayArrayInTable(Fertiliser_SourceData.Fertiliser_Products_Data3(), FertiliserProducts[[#Headers],[Company]],61)</f>
        <v/>
      </c>
      <c r="N158" s="192" cm="1">
        <f t="array" ref="N158">Common_InputFunctions.Utility_DisplayArrayInTable(Fertiliser_SourceData.Fertiliser_Products_Data3(), FertiliserProducts[[#Headers],[Company]],61)</f>
        <v>12.8</v>
      </c>
      <c r="O158" s="192" t="str" cm="1">
        <f t="array" ref="O158">Common_InputFunctions.Utility_DisplayArrayInTable(Fertiliser_SourceData.Fertiliser_Products_Data3(), FertiliserProducts[[#Headers],[Company]],61)</f>
        <v>Sulphate of ammonia (SOA)</v>
      </c>
      <c r="P158" s="192" cm="1">
        <f t="array" ref="P158">Common_InputFunctions.Utility_DisplayArrayInTable(Fertiliser_SourceData.Fertiliser_Products_Data3(), FertiliserProducts[[#Headers],[Company]],61)</f>
        <v>0.53333299999999995</v>
      </c>
      <c r="Q158" s="192" t="str" cm="1">
        <f t="array" ref="Q158">Common_InputFunctions.Utility_DisplayArrayInTable(Fertiliser_SourceData.Fertiliser_Products_Data3(), FertiliserProducts[[#Headers],[Company]],61)</f>
        <v>Ammonium nitrate (AN)</v>
      </c>
      <c r="R158" s="192" cm="1">
        <f t="array" ref="R158">Common_InputFunctions.Utility_DisplayArrayInTable(Fertiliser_SourceData.Fertiliser_Products_Data3(), FertiliserProducts[[#Headers],[Company]],61)</f>
        <v>0.40949600000000003</v>
      </c>
      <c r="S158" s="192" t="str" cm="1">
        <f t="array" ref="S158">Common_InputFunctions.Utility_DisplayArrayInTable(Fertiliser_SourceData.Fertiliser_Products_Data3(), FertiliserProducts[[#Headers],[Company]],61)</f>
        <v>Zinc</v>
      </c>
      <c r="T158" s="192" cm="1">
        <f t="array" ref="T158">Common_InputFunctions.Utility_DisplayArrayInTable(Fertiliser_SourceData.Fertiliser_Products_Data3(), FertiliserProducts[[#Headers],[Company]],61)</f>
        <v>1E-3</v>
      </c>
      <c r="U158" s="192" t="str" cm="1">
        <f t="array" ref="U158">Common_InputFunctions.Utility_DisplayArrayInTable(Fertiliser_SourceData.Fertiliser_Products_Data3(), FertiliserProducts[[#Headers],[Company]],61)</f>
        <v>Manganese</v>
      </c>
      <c r="V158" s="192" cm="1">
        <f t="array" ref="V158">Common_InputFunctions.Utility_DisplayArrayInTable(Fertiliser_SourceData.Fertiliser_Products_Data3(), FertiliserProducts[[#Headers],[Company]],61)</f>
        <v>1E-3</v>
      </c>
      <c r="W158" s="192" t="str" cm="1">
        <f t="array" ref="W158">Common_InputFunctions.Utility_DisplayArrayInTable(Fertiliser_SourceData.Fertiliser_Products_Data3(), FertiliserProducts[[#Headers],[Company]],61)</f>
        <v>Boron</v>
      </c>
      <c r="X158" s="192" cm="1">
        <f t="array" ref="X158">Common_InputFunctions.Utility_DisplayArrayInTable(Fertiliser_SourceData.Fertiliser_Products_Data3(), FertiliserProducts[[#Headers],[Company]],61)</f>
        <v>1E-4</v>
      </c>
      <c r="Y158" s="192" t="str" cm="1">
        <f t="array" ref="Y158">Common_InputFunctions.Utility_DisplayArrayInTable(Fertiliser_SourceData.Fertiliser_Products_Data3(), FertiliserProducts[[#Headers],[Company]],61)</f>
        <v>Molybdenum</v>
      </c>
      <c r="Z158" s="192" cm="1">
        <f t="array" ref="Z158">Common_InputFunctions.Utility_DisplayArrayInTable(Fertiliser_SourceData.Fertiliser_Products_Data3(), FertiliserProducts[[#Headers],[Company]],61)</f>
        <v>1.0000000000000001E-5</v>
      </c>
      <c r="AA158" s="192" t="str" cm="1">
        <f t="array" ref="AA158">Common_InputFunctions.Utility_DisplayArrayInTable(Fertiliser_SourceData.Fertiliser_Products_Data3(), FertiliserProducts[[#Headers],[Company]],61)</f>
        <v/>
      </c>
      <c r="AB158" s="192" t="str" cm="1">
        <f t="array" ref="AB158">Common_InputFunctions.Utility_DisplayArrayInTable(Fertiliser_SourceData.Fertiliser_Products_Data3(), FertiliserProducts[[#Headers],[Company]],61)</f>
        <v/>
      </c>
      <c r="AC158" s="192" t="str" cm="1">
        <f t="array" ref="AC158">Common_InputFunctions.Utility_DisplayArrayInTable(Fertiliser_SourceData.Fertiliser_Products_Data3(), FertiliserProducts[[#Headers],[Company]],61)</f>
        <v/>
      </c>
      <c r="AD158" s="192" t="str" cm="1">
        <f t="array" ref="AD158">Common_InputFunctions.Utility_DisplayArrayInTable(Fertiliser_SourceData.Fertiliser_Products_Data3(), FertiliserProducts[[#Headers],[Company]],61)</f>
        <v/>
      </c>
      <c r="AE158" s="192" t="str" cm="1">
        <f t="array" ref="AE158">Common_InputFunctions.Utility_DisplayArrayInTable(Fertiliser_SourceData.Fertiliser_Products_Data3(), FertiliserProducts[[#Headers],[Company]],61)</f>
        <v/>
      </c>
      <c r="AF158" s="192" t="str" cm="1">
        <f t="array" ref="AF158">Common_InputFunctions.Utility_DisplayArrayInTable(Fertiliser_SourceData.Fertiliser_Products_Data3(), FertiliserProducts[[#Headers],[Company]],61)</f>
        <v/>
      </c>
      <c r="AG158" s="192" t="str" cm="1">
        <f t="array" ref="AG158">Common_InputFunctions.Utility_DisplayArrayInTable(Fertiliser_SourceData.Fertiliser_Products_Data3(), FertiliserProducts[[#Headers],[Company]],61)</f>
        <v/>
      </c>
      <c r="AH158" s="192" t="str" cm="1">
        <f t="array" ref="AH158">Common_InputFunctions.Utility_DisplayArrayInTable(Fertiliser_SourceData.Fertiliser_Products_Data3(), FertiliserProducts[[#Headers],[Company]],61)</f>
        <v/>
      </c>
      <c r="AK158" s="1"/>
    </row>
    <row r="159" spans="4:39" ht="20.100000000000001" customHeight="1" x14ac:dyDescent="0.25">
      <c r="D159" s="192" t="str" cm="1">
        <f t="array" ref="D159">Common_InputFunctions.Utility_DisplayArrayInTable(Fertiliser_SourceData.Fertiliser_Products_Data3(), FertiliserProducts[[#Headers],[Company]],61)</f>
        <v>FertPro Manufacturing Pty. Ltd.</v>
      </c>
      <c r="E159" s="192" t="str" cm="1">
        <f t="array" ref="E159">Common_InputFunctions.Utility_DisplayArrayInTable(Fertiliser_SourceData.Fertiliser_Products_Data3(), FertiliserProducts[[#Headers],[Company]],61)</f>
        <v>(SSP) Single Super Fertiliser</v>
      </c>
      <c r="F159" s="192" t="str" cm="1">
        <f t="array" ref="F159">Common_InputFunctions.Utility_DisplayArrayInTable(Fertiliser_SourceData.Fertiliser_Products_Data3(), FertiliserProducts[[#Headers],[Company]],61)</f>
        <v>kg</v>
      </c>
      <c r="G159" s="192" cm="1">
        <f t="array" ref="G159">Common_InputFunctions.Utility_DisplayArrayInTable(Fertiliser_SourceData.Fertiliser_Products_Data3(), FertiliserProducts[[#Headers],[Company]],61)</f>
        <v>1</v>
      </c>
      <c r="H159" s="192" t="str" cm="1">
        <f t="array" ref="H159">Common_InputFunctions.Utility_DisplayArrayInTable(Fertiliser_SourceData.Fertiliser_Products_Data3(), FertiliserProducts[[#Headers],[Company]],61)</f>
        <v/>
      </c>
      <c r="I159" s="192" t="str" cm="1">
        <f t="array" ref="I159">Common_InputFunctions.Utility_DisplayArrayInTable(Fertiliser_SourceData.Fertiliser_Products_Data3(), FertiliserProducts[[#Headers],[Company]],61)</f>
        <v/>
      </c>
      <c r="J159" s="192" t="str" cm="1">
        <f t="array" ref="J159">Common_InputFunctions.Utility_DisplayArrayInTable(Fertiliser_SourceData.Fertiliser_Products_Data3(), FertiliserProducts[[#Headers],[Company]],61)</f>
        <v/>
      </c>
      <c r="K159" s="192" t="str" cm="1">
        <f t="array" ref="K159">Common_InputFunctions.Utility_DisplayArrayInTable(Fertiliser_SourceData.Fertiliser_Products_Data3(), FertiliserProducts[[#Headers],[Company]],61)</f>
        <v/>
      </c>
      <c r="L159" s="192" cm="1">
        <f t="array" ref="L159">Common_InputFunctions.Utility_DisplayArrayInTable(Fertiliser_SourceData.Fertiliser_Products_Data3(), FertiliserProducts[[#Headers],[Company]],61)</f>
        <v>8.8000000000000007</v>
      </c>
      <c r="M159" s="192" t="str" cm="1">
        <f t="array" ref="M159">Common_InputFunctions.Utility_DisplayArrayInTable(Fertiliser_SourceData.Fertiliser_Products_Data3(), FertiliserProducts[[#Headers],[Company]],61)</f>
        <v/>
      </c>
      <c r="N159" s="192" cm="1">
        <f t="array" ref="N159">Common_InputFunctions.Utility_DisplayArrayInTable(Fertiliser_SourceData.Fertiliser_Products_Data3(), FertiliserProducts[[#Headers],[Company]],61)</f>
        <v>11</v>
      </c>
      <c r="O159" s="192" t="str" cm="1">
        <f t="array" ref="O159">Common_InputFunctions.Utility_DisplayArrayInTable(Fertiliser_SourceData.Fertiliser_Products_Data3(), FertiliserProducts[[#Headers],[Company]],61)</f>
        <v>Single superphosphate (SSP)</v>
      </c>
      <c r="P159" s="192" cm="1">
        <f t="array" ref="P159">Common_InputFunctions.Utility_DisplayArrayInTable(Fertiliser_SourceData.Fertiliser_Products_Data3(), FertiliserProducts[[#Headers],[Company]],61)</f>
        <v>1</v>
      </c>
      <c r="Q159" s="192" t="str" cm="1">
        <f t="array" ref="Q159">Common_InputFunctions.Utility_DisplayArrayInTable(Fertiliser_SourceData.Fertiliser_Products_Data3(), FertiliserProducts[[#Headers],[Company]],61)</f>
        <v/>
      </c>
      <c r="R159" s="192" t="str" cm="1">
        <f t="array" ref="R159">Common_InputFunctions.Utility_DisplayArrayInTable(Fertiliser_SourceData.Fertiliser_Products_Data3(), FertiliserProducts[[#Headers],[Company]],61)</f>
        <v/>
      </c>
      <c r="S159" s="192" t="str" cm="1">
        <f t="array" ref="S159">Common_InputFunctions.Utility_DisplayArrayInTable(Fertiliser_SourceData.Fertiliser_Products_Data3(), FertiliserProducts[[#Headers],[Company]],61)</f>
        <v/>
      </c>
      <c r="T159" s="192" t="str" cm="1">
        <f t="array" ref="T159">Common_InputFunctions.Utility_DisplayArrayInTable(Fertiliser_SourceData.Fertiliser_Products_Data3(), FertiliserProducts[[#Headers],[Company]],61)</f>
        <v/>
      </c>
      <c r="U159" s="192" t="str" cm="1">
        <f t="array" ref="U159">Common_InputFunctions.Utility_DisplayArrayInTable(Fertiliser_SourceData.Fertiliser_Products_Data3(), FertiliserProducts[[#Headers],[Company]],61)</f>
        <v/>
      </c>
      <c r="V159" s="192" t="str" cm="1">
        <f t="array" ref="V159">Common_InputFunctions.Utility_DisplayArrayInTable(Fertiliser_SourceData.Fertiliser_Products_Data3(), FertiliserProducts[[#Headers],[Company]],61)</f>
        <v/>
      </c>
      <c r="W159" s="192" t="str" cm="1">
        <f t="array" ref="W159">Common_InputFunctions.Utility_DisplayArrayInTable(Fertiliser_SourceData.Fertiliser_Products_Data3(), FertiliserProducts[[#Headers],[Company]],61)</f>
        <v/>
      </c>
      <c r="X159" s="192" t="str" cm="1">
        <f t="array" ref="X159">Common_InputFunctions.Utility_DisplayArrayInTable(Fertiliser_SourceData.Fertiliser_Products_Data3(), FertiliserProducts[[#Headers],[Company]],61)</f>
        <v/>
      </c>
      <c r="Y159" s="192" t="str" cm="1">
        <f t="array" ref="Y159">Common_InputFunctions.Utility_DisplayArrayInTable(Fertiliser_SourceData.Fertiliser_Products_Data3(), FertiliserProducts[[#Headers],[Company]],61)</f>
        <v/>
      </c>
      <c r="Z159" s="192" t="str" cm="1">
        <f t="array" ref="Z159">Common_InputFunctions.Utility_DisplayArrayInTable(Fertiliser_SourceData.Fertiliser_Products_Data3(), FertiliserProducts[[#Headers],[Company]],61)</f>
        <v/>
      </c>
      <c r="AA159" s="192" t="str" cm="1">
        <f t="array" ref="AA159">Common_InputFunctions.Utility_DisplayArrayInTable(Fertiliser_SourceData.Fertiliser_Products_Data3(), FertiliserProducts[[#Headers],[Company]],61)</f>
        <v/>
      </c>
      <c r="AB159" s="192" t="str" cm="1">
        <f t="array" ref="AB159">Common_InputFunctions.Utility_DisplayArrayInTable(Fertiliser_SourceData.Fertiliser_Products_Data3(), FertiliserProducts[[#Headers],[Company]],61)</f>
        <v/>
      </c>
      <c r="AC159" s="192" t="str" cm="1">
        <f t="array" ref="AC159">Common_InputFunctions.Utility_DisplayArrayInTable(Fertiliser_SourceData.Fertiliser_Products_Data3(), FertiliserProducts[[#Headers],[Company]],61)</f>
        <v/>
      </c>
      <c r="AD159" s="192" t="str" cm="1">
        <f t="array" ref="AD159">Common_InputFunctions.Utility_DisplayArrayInTable(Fertiliser_SourceData.Fertiliser_Products_Data3(), FertiliserProducts[[#Headers],[Company]],61)</f>
        <v/>
      </c>
      <c r="AE159" s="192" t="str" cm="1">
        <f t="array" ref="AE159">Common_InputFunctions.Utility_DisplayArrayInTable(Fertiliser_SourceData.Fertiliser_Products_Data3(), FertiliserProducts[[#Headers],[Company]],61)</f>
        <v/>
      </c>
      <c r="AF159" s="192" t="str" cm="1">
        <f t="array" ref="AF159">Common_InputFunctions.Utility_DisplayArrayInTable(Fertiliser_SourceData.Fertiliser_Products_Data3(), FertiliserProducts[[#Headers],[Company]],61)</f>
        <v/>
      </c>
      <c r="AG159" s="192" t="str" cm="1">
        <f t="array" ref="AG159">Common_InputFunctions.Utility_DisplayArrayInTable(Fertiliser_SourceData.Fertiliser_Products_Data3(), FertiliserProducts[[#Headers],[Company]],61)</f>
        <v/>
      </c>
      <c r="AH159" s="192" t="str" cm="1">
        <f t="array" ref="AH159">Common_InputFunctions.Utility_DisplayArrayInTable(Fertiliser_SourceData.Fertiliser_Products_Data3(), FertiliserProducts[[#Headers],[Company]],61)</f>
        <v/>
      </c>
      <c r="AK159" s="1"/>
    </row>
    <row r="160" spans="4:39" ht="20.100000000000001" customHeight="1" x14ac:dyDescent="0.25">
      <c r="D160" s="192" t="str" cm="1">
        <f t="array" ref="D160">Common_InputFunctions.Utility_DisplayArrayInTable(Fertiliser_SourceData.Fertiliser_Products_Data3(), FertiliserProducts[[#Headers],[Company]],61)</f>
        <v>Impact Fertilisers</v>
      </c>
      <c r="E160" s="192" t="str" cm="1">
        <f t="array" ref="E160">Common_InputFunctions.Utility_DisplayArrayInTable(Fertiliser_SourceData.Fertiliser_Products_Data3(), FertiliserProducts[[#Headers],[Company]],61)</f>
        <v>ZincStar</v>
      </c>
      <c r="F160" s="192" t="str" cm="1">
        <f t="array" ref="F160">Common_InputFunctions.Utility_DisplayArrayInTable(Fertiliser_SourceData.Fertiliser_Products_Data3(), FertiliserProducts[[#Headers],[Company]],61)</f>
        <v>kg</v>
      </c>
      <c r="G160" s="192" cm="1">
        <f t="array" ref="G160">Common_InputFunctions.Utility_DisplayArrayInTable(Fertiliser_SourceData.Fertiliser_Products_Data3(), FertiliserProducts[[#Headers],[Company]],61)</f>
        <v>1</v>
      </c>
      <c r="H160" s="192" t="str" cm="1">
        <f t="array" ref="H160">Common_InputFunctions.Utility_DisplayArrayInTable(Fertiliser_SourceData.Fertiliser_Products_Data3(), FertiliserProducts[[#Headers],[Company]],61)</f>
        <v/>
      </c>
      <c r="I160" s="192" t="str" cm="1">
        <f t="array" ref="I160">Common_InputFunctions.Utility_DisplayArrayInTable(Fertiliser_SourceData.Fertiliser_Products_Data3(), FertiliserProducts[[#Headers],[Company]],61)</f>
        <v/>
      </c>
      <c r="J160" s="192" t="str" cm="1">
        <f t="array" ref="J160">Common_InputFunctions.Utility_DisplayArrayInTable(Fertiliser_SourceData.Fertiliser_Products_Data3(), FertiliserProducts[[#Headers],[Company]],61)</f>
        <v/>
      </c>
      <c r="K160" s="192" cm="1">
        <f t="array" ref="K160">Common_InputFunctions.Utility_DisplayArrayInTable(Fertiliser_SourceData.Fertiliser_Products_Data3(), FertiliserProducts[[#Headers],[Company]],61)</f>
        <v>10</v>
      </c>
      <c r="L160" s="192" cm="1">
        <f t="array" ref="L160">Common_InputFunctions.Utility_DisplayArrayInTable(Fertiliser_SourceData.Fertiliser_Products_Data3(), FertiliserProducts[[#Headers],[Company]],61)</f>
        <v>21.9</v>
      </c>
      <c r="M160" s="192" cm="1">
        <f t="array" ref="M160">Common_InputFunctions.Utility_DisplayArrayInTable(Fertiliser_SourceData.Fertiliser_Products_Data3(), FertiliserProducts[[#Headers],[Company]],61)</f>
        <v>0</v>
      </c>
      <c r="N160" s="192" cm="1">
        <f t="array" ref="N160">Common_InputFunctions.Utility_DisplayArrayInTable(Fertiliser_SourceData.Fertiliser_Products_Data3(), FertiliserProducts[[#Headers],[Company]],61)</f>
        <v>2</v>
      </c>
      <c r="O160" s="192" t="str" cm="1">
        <f t="array" ref="O160">Common_InputFunctions.Utility_DisplayArrayInTable(Fertiliser_SourceData.Fertiliser_Products_Data3(), FertiliserProducts[[#Headers],[Company]],61)</f>
        <v>Monoammonium phosphate (MAP)</v>
      </c>
      <c r="P160" s="192" cm="1">
        <f t="array" ref="P160">Common_InputFunctions.Utility_DisplayArrayInTable(Fertiliser_SourceData.Fertiliser_Products_Data3(), FertiliserProducts[[#Headers],[Company]],61)</f>
        <v>1</v>
      </c>
      <c r="Q160" s="192" t="str" cm="1">
        <f t="array" ref="Q160">Common_InputFunctions.Utility_DisplayArrayInTable(Fertiliser_SourceData.Fertiliser_Products_Data3(), FertiliserProducts[[#Headers],[Company]],61)</f>
        <v>Zinc</v>
      </c>
      <c r="R160" s="192" cm="1">
        <f t="array" ref="R160">Common_InputFunctions.Utility_DisplayArrayInTable(Fertiliser_SourceData.Fertiliser_Products_Data3(), FertiliserProducts[[#Headers],[Company]],61)</f>
        <v>0.01</v>
      </c>
      <c r="S160" s="192" t="str" cm="1">
        <f t="array" ref="S160">Common_InputFunctions.Utility_DisplayArrayInTable(Fertiliser_SourceData.Fertiliser_Products_Data3(), FertiliserProducts[[#Headers],[Company]],61)</f>
        <v/>
      </c>
      <c r="T160" s="192" t="str" cm="1">
        <f t="array" ref="T160">Common_InputFunctions.Utility_DisplayArrayInTable(Fertiliser_SourceData.Fertiliser_Products_Data3(), FertiliserProducts[[#Headers],[Company]],61)</f>
        <v/>
      </c>
      <c r="U160" s="192" t="str" cm="1">
        <f t="array" ref="U160">Common_InputFunctions.Utility_DisplayArrayInTable(Fertiliser_SourceData.Fertiliser_Products_Data3(), FertiliserProducts[[#Headers],[Company]],61)</f>
        <v/>
      </c>
      <c r="V160" s="192" t="str" cm="1">
        <f t="array" ref="V160">Common_InputFunctions.Utility_DisplayArrayInTable(Fertiliser_SourceData.Fertiliser_Products_Data3(), FertiliserProducts[[#Headers],[Company]],61)</f>
        <v/>
      </c>
      <c r="W160" s="192" t="str" cm="1">
        <f t="array" ref="W160">Common_InputFunctions.Utility_DisplayArrayInTable(Fertiliser_SourceData.Fertiliser_Products_Data3(), FertiliserProducts[[#Headers],[Company]],61)</f>
        <v/>
      </c>
      <c r="X160" s="192" t="str" cm="1">
        <f t="array" ref="X160">Common_InputFunctions.Utility_DisplayArrayInTable(Fertiliser_SourceData.Fertiliser_Products_Data3(), FertiliserProducts[[#Headers],[Company]],61)</f>
        <v/>
      </c>
      <c r="Y160" s="192" t="str" cm="1">
        <f t="array" ref="Y160">Common_InputFunctions.Utility_DisplayArrayInTable(Fertiliser_SourceData.Fertiliser_Products_Data3(), FertiliserProducts[[#Headers],[Company]],61)</f>
        <v/>
      </c>
      <c r="Z160" s="192" t="str" cm="1">
        <f t="array" ref="Z160">Common_InputFunctions.Utility_DisplayArrayInTable(Fertiliser_SourceData.Fertiliser_Products_Data3(), FertiliserProducts[[#Headers],[Company]],61)</f>
        <v/>
      </c>
      <c r="AA160" s="192" t="str" cm="1">
        <f t="array" ref="AA160">Common_InputFunctions.Utility_DisplayArrayInTable(Fertiliser_SourceData.Fertiliser_Products_Data3(), FertiliserProducts[[#Headers],[Company]],61)</f>
        <v/>
      </c>
      <c r="AB160" s="192" t="str" cm="1">
        <f t="array" ref="AB160">Common_InputFunctions.Utility_DisplayArrayInTable(Fertiliser_SourceData.Fertiliser_Products_Data3(), FertiliserProducts[[#Headers],[Company]],61)</f>
        <v/>
      </c>
      <c r="AC160" s="192" t="str" cm="1">
        <f t="array" ref="AC160">Common_InputFunctions.Utility_DisplayArrayInTable(Fertiliser_SourceData.Fertiliser_Products_Data3(), FertiliserProducts[[#Headers],[Company]],61)</f>
        <v/>
      </c>
      <c r="AD160" s="192" t="str" cm="1">
        <f t="array" ref="AD160">Common_InputFunctions.Utility_DisplayArrayInTable(Fertiliser_SourceData.Fertiliser_Products_Data3(), FertiliserProducts[[#Headers],[Company]],61)</f>
        <v/>
      </c>
      <c r="AE160" s="192" t="str" cm="1">
        <f t="array" ref="AE160">Common_InputFunctions.Utility_DisplayArrayInTable(Fertiliser_SourceData.Fertiliser_Products_Data3(), FertiliserProducts[[#Headers],[Company]],61)</f>
        <v/>
      </c>
      <c r="AF160" s="192" t="str" cm="1">
        <f t="array" ref="AF160">Common_InputFunctions.Utility_DisplayArrayInTable(Fertiliser_SourceData.Fertiliser_Products_Data3(), FertiliserProducts[[#Headers],[Company]],61)</f>
        <v/>
      </c>
      <c r="AG160" s="192" t="str" cm="1">
        <f t="array" ref="AG160">Common_InputFunctions.Utility_DisplayArrayInTable(Fertiliser_SourceData.Fertiliser_Products_Data3(), FertiliserProducts[[#Headers],[Company]],61)</f>
        <v/>
      </c>
      <c r="AH160" s="192" t="str" cm="1">
        <f t="array" ref="AH160">Common_InputFunctions.Utility_DisplayArrayInTable(Fertiliser_SourceData.Fertiliser_Products_Data3(), FertiliserProducts[[#Headers],[Company]],61)</f>
        <v/>
      </c>
      <c r="AK160" s="1"/>
    </row>
    <row r="161" spans="4:37" ht="20.100000000000001" customHeight="1" x14ac:dyDescent="0.25">
      <c r="D161" s="192" t="str" cm="1">
        <f t="array" ref="D161">Common_InputFunctions.Utility_DisplayArrayInTable(Fertiliser_SourceData.Fertiliser_Products_Data3(), FertiliserProducts[[#Headers],[Company]],61)</f>
        <v>Baileys (Simplot) [listed as Impact]</v>
      </c>
      <c r="E161" s="192" t="str" cm="1">
        <f t="array" ref="E161">Common_InputFunctions.Utility_DisplayArrayInTable(Fertiliser_SourceData.Fertiliser_Products_Data3(), FertiliserProducts[[#Headers],[Company]],61)</f>
        <v>Apex GaIXe Low P 21-1-6</v>
      </c>
      <c r="F161" s="192" t="str" cm="1">
        <f t="array" ref="F161">Common_InputFunctions.Utility_DisplayArrayInTable(Fertiliser_SourceData.Fertiliser_Products_Data3(), FertiliserProducts[[#Headers],[Company]],61)</f>
        <v>kg</v>
      </c>
      <c r="G161" s="192" cm="1">
        <f t="array" ref="G161">Common_InputFunctions.Utility_DisplayArrayInTable(Fertiliser_SourceData.Fertiliser_Products_Data3(), FertiliserProducts[[#Headers],[Company]],61)</f>
        <v>1</v>
      </c>
      <c r="H161" s="192" t="str" cm="1">
        <f t="array" ref="H161">Common_InputFunctions.Utility_DisplayArrayInTable(Fertiliser_SourceData.Fertiliser_Products_Data3(), FertiliserProducts[[#Headers],[Company]],61)</f>
        <v/>
      </c>
      <c r="I161" s="192" t="str" cm="1">
        <f t="array" ref="I161">Common_InputFunctions.Utility_DisplayArrayInTable(Fertiliser_SourceData.Fertiliser_Products_Data3(), FertiliserProducts[[#Headers],[Company]],61)</f>
        <v/>
      </c>
      <c r="J161" s="192" t="str" cm="1">
        <f t="array" ref="J161">Common_InputFunctions.Utility_DisplayArrayInTable(Fertiliser_SourceData.Fertiliser_Products_Data3(), FertiliserProducts[[#Headers],[Company]],61)</f>
        <v/>
      </c>
      <c r="K161" s="192" cm="1">
        <f t="array" ref="K161">Common_InputFunctions.Utility_DisplayArrayInTable(Fertiliser_SourceData.Fertiliser_Products_Data3(), FertiliserProducts[[#Headers],[Company]],61)</f>
        <v>21</v>
      </c>
      <c r="L161" s="192" cm="1">
        <f t="array" ref="L161">Common_InputFunctions.Utility_DisplayArrayInTable(Fertiliser_SourceData.Fertiliser_Products_Data3(), FertiliserProducts[[#Headers],[Company]],61)</f>
        <v>0.86</v>
      </c>
      <c r="M161" s="192" cm="1">
        <f t="array" ref="M161">Common_InputFunctions.Utility_DisplayArrayInTable(Fertiliser_SourceData.Fertiliser_Products_Data3(), FertiliserProducts[[#Headers],[Company]],61)</f>
        <v>5.8</v>
      </c>
      <c r="N161" s="192" cm="1">
        <f t="array" ref="N161">Common_InputFunctions.Utility_DisplayArrayInTable(Fertiliser_SourceData.Fertiliser_Products_Data3(), FertiliserProducts[[#Headers],[Company]],61)</f>
        <v>4.2</v>
      </c>
      <c r="O161" s="192" t="str" cm="1">
        <f t="array" ref="O161">Common_InputFunctions.Utility_DisplayArrayInTable(Fertiliser_SourceData.Fertiliser_Products_Data3(), FertiliserProducts[[#Headers],[Company]],61)</f>
        <v>Nitrogen - Generic</v>
      </c>
      <c r="P161" s="192" cm="1">
        <f t="array" ref="P161">Common_InputFunctions.Utility_DisplayArrayInTable(Fertiliser_SourceData.Fertiliser_Products_Data3(), FertiliserProducts[[#Headers],[Company]],61)</f>
        <v>0.21</v>
      </c>
      <c r="Q161" s="192" t="str" cm="1">
        <f t="array" ref="Q161">Common_InputFunctions.Utility_DisplayArrayInTable(Fertiliser_SourceData.Fertiliser_Products_Data3(), FertiliserProducts[[#Headers],[Company]],61)</f>
        <v>Potassium - Generic</v>
      </c>
      <c r="R161" s="192" cm="1">
        <f t="array" ref="R161">Common_InputFunctions.Utility_DisplayArrayInTable(Fertiliser_SourceData.Fertiliser_Products_Data3(), FertiliserProducts[[#Headers],[Company]],61)</f>
        <v>5.8000000000000003E-2</v>
      </c>
      <c r="S161" s="192" t="str" cm="1">
        <f t="array" ref="S161">Common_InputFunctions.Utility_DisplayArrayInTable(Fertiliser_SourceData.Fertiliser_Products_Data3(), FertiliserProducts[[#Headers],[Company]],61)</f>
        <v>Sulfur - Generic</v>
      </c>
      <c r="T161" s="192" cm="1">
        <f t="array" ref="T161">Common_InputFunctions.Utility_DisplayArrayInTable(Fertiliser_SourceData.Fertiliser_Products_Data3(), FertiliserProducts[[#Headers],[Company]],61)</f>
        <v>4.2000000000000003E-2</v>
      </c>
      <c r="U161" s="192" t="str" cm="1">
        <f t="array" ref="U161">Common_InputFunctions.Utility_DisplayArrayInTable(Fertiliser_SourceData.Fertiliser_Products_Data3(), FertiliserProducts[[#Headers],[Company]],61)</f>
        <v>Phosphorus - Generic</v>
      </c>
      <c r="V161" s="192" cm="1">
        <f t="array" ref="V161">Common_InputFunctions.Utility_DisplayArrayInTable(Fertiliser_SourceData.Fertiliser_Products_Data3(), FertiliserProducts[[#Headers],[Company]],61)</f>
        <v>8.6E-3</v>
      </c>
      <c r="W161" s="192" t="str" cm="1">
        <f t="array" ref="W161">Common_InputFunctions.Utility_DisplayArrayInTable(Fertiliser_SourceData.Fertiliser_Products_Data3(), FertiliserProducts[[#Headers],[Company]],61)</f>
        <v/>
      </c>
      <c r="X161" s="192" t="str" cm="1">
        <f t="array" ref="X161">Common_InputFunctions.Utility_DisplayArrayInTable(Fertiliser_SourceData.Fertiliser_Products_Data3(), FertiliserProducts[[#Headers],[Company]],61)</f>
        <v/>
      </c>
      <c r="Y161" s="192" t="str" cm="1">
        <f t="array" ref="Y161">Common_InputFunctions.Utility_DisplayArrayInTable(Fertiliser_SourceData.Fertiliser_Products_Data3(), FertiliserProducts[[#Headers],[Company]],61)</f>
        <v/>
      </c>
      <c r="Z161" s="192" t="str" cm="1">
        <f t="array" ref="Z161">Common_InputFunctions.Utility_DisplayArrayInTable(Fertiliser_SourceData.Fertiliser_Products_Data3(), FertiliserProducts[[#Headers],[Company]],61)</f>
        <v/>
      </c>
      <c r="AA161" s="192" t="str" cm="1">
        <f t="array" ref="AA161">Common_InputFunctions.Utility_DisplayArrayInTable(Fertiliser_SourceData.Fertiliser_Products_Data3(), FertiliserProducts[[#Headers],[Company]],61)</f>
        <v/>
      </c>
      <c r="AB161" s="192" t="str" cm="1">
        <f t="array" ref="AB161">Common_InputFunctions.Utility_DisplayArrayInTable(Fertiliser_SourceData.Fertiliser_Products_Data3(), FertiliserProducts[[#Headers],[Company]],61)</f>
        <v/>
      </c>
      <c r="AC161" s="192" t="str" cm="1">
        <f t="array" ref="AC161">Common_InputFunctions.Utility_DisplayArrayInTable(Fertiliser_SourceData.Fertiliser_Products_Data3(), FertiliserProducts[[#Headers],[Company]],61)</f>
        <v/>
      </c>
      <c r="AD161" s="192" t="str" cm="1">
        <f t="array" ref="AD161">Common_InputFunctions.Utility_DisplayArrayInTable(Fertiliser_SourceData.Fertiliser_Products_Data3(), FertiliserProducts[[#Headers],[Company]],61)</f>
        <v/>
      </c>
      <c r="AE161" s="192" t="str" cm="1">
        <f t="array" ref="AE161">Common_InputFunctions.Utility_DisplayArrayInTable(Fertiliser_SourceData.Fertiliser_Products_Data3(), FertiliserProducts[[#Headers],[Company]],61)</f>
        <v/>
      </c>
      <c r="AF161" s="192" t="str" cm="1">
        <f t="array" ref="AF161">Common_InputFunctions.Utility_DisplayArrayInTable(Fertiliser_SourceData.Fertiliser_Products_Data3(), FertiliserProducts[[#Headers],[Company]],61)</f>
        <v/>
      </c>
      <c r="AG161" s="192" t="str" cm="1">
        <f t="array" ref="AG161">Common_InputFunctions.Utility_DisplayArrayInTable(Fertiliser_SourceData.Fertiliser_Products_Data3(), FertiliserProducts[[#Headers],[Company]],61)</f>
        <v/>
      </c>
      <c r="AH161" s="192" t="str" cm="1">
        <f t="array" ref="AH161">Common_InputFunctions.Utility_DisplayArrayInTable(Fertiliser_SourceData.Fertiliser_Products_Data3(), FertiliserProducts[[#Headers],[Company]],61)</f>
        <v/>
      </c>
      <c r="AK161" s="1"/>
    </row>
    <row r="162" spans="4:37" ht="20.100000000000001" customHeight="1" x14ac:dyDescent="0.25">
      <c r="D162" s="192" t="str" cm="1">
        <f t="array" ref="D162">Common_InputFunctions.Utility_DisplayArrayInTable(Fertiliser_SourceData.Fertiliser_Products_Data3(), FertiliserProducts[[#Headers],[Company]],61)</f>
        <v>Incitec Pivot Fertilisers</v>
      </c>
      <c r="E162" s="192" t="str" cm="1">
        <f t="array" ref="E162">Common_InputFunctions.Utility_DisplayArrayInTable(Fertiliser_SourceData.Fertiliser_Products_Data3(), FertiliserProducts[[#Headers],[Company]],61)</f>
        <v>SuPerfect</v>
      </c>
      <c r="F162" s="192" t="str" cm="1">
        <f t="array" ref="F162">Common_InputFunctions.Utility_DisplayArrayInTable(Fertiliser_SourceData.Fertiliser_Products_Data3(), FertiliserProducts[[#Headers],[Company]],61)</f>
        <v>kg</v>
      </c>
      <c r="G162" s="192" cm="1">
        <f t="array" ref="G162">Common_InputFunctions.Utility_DisplayArrayInTable(Fertiliser_SourceData.Fertiliser_Products_Data3(), FertiliserProducts[[#Headers],[Company]],61)</f>
        <v>1</v>
      </c>
      <c r="H162" s="192" t="str" cm="1">
        <f t="array" ref="H162">Common_InputFunctions.Utility_DisplayArrayInTable(Fertiliser_SourceData.Fertiliser_Products_Data3(), FertiliserProducts[[#Headers],[Company]],61)</f>
        <v/>
      </c>
      <c r="I162" s="192" t="str" cm="1">
        <f t="array" ref="I162">Common_InputFunctions.Utility_DisplayArrayInTable(Fertiliser_SourceData.Fertiliser_Products_Data3(), FertiliserProducts[[#Headers],[Company]],61)</f>
        <v/>
      </c>
      <c r="J162" s="192" t="str" cm="1">
        <f t="array" ref="J162">Common_InputFunctions.Utility_DisplayArrayInTable(Fertiliser_SourceData.Fertiliser_Products_Data3(), FertiliserProducts[[#Headers],[Company]],61)</f>
        <v/>
      </c>
      <c r="K162" s="192" t="str" cm="1">
        <f t="array" ref="K162">Common_InputFunctions.Utility_DisplayArrayInTable(Fertiliser_SourceData.Fertiliser_Products_Data3(), FertiliserProducts[[#Headers],[Company]],61)</f>
        <v/>
      </c>
      <c r="L162" s="192" cm="1">
        <f t="array" ref="L162">Common_InputFunctions.Utility_DisplayArrayInTable(Fertiliser_SourceData.Fertiliser_Products_Data3(), FertiliserProducts[[#Headers],[Company]],61)</f>
        <v>8.8000000000000007</v>
      </c>
      <c r="M162" s="192" t="str" cm="1">
        <f t="array" ref="M162">Common_InputFunctions.Utility_DisplayArrayInTable(Fertiliser_SourceData.Fertiliser_Products_Data3(), FertiliserProducts[[#Headers],[Company]],61)</f>
        <v/>
      </c>
      <c r="N162" s="192" cm="1">
        <f t="array" ref="N162">Common_InputFunctions.Utility_DisplayArrayInTable(Fertiliser_SourceData.Fertiliser_Products_Data3(), FertiliserProducts[[#Headers],[Company]],61)</f>
        <v>11</v>
      </c>
      <c r="O162" s="192" t="str" cm="1">
        <f t="array" ref="O162">Common_InputFunctions.Utility_DisplayArrayInTable(Fertiliser_SourceData.Fertiliser_Products_Data3(), FertiliserProducts[[#Headers],[Company]],61)</f>
        <v>Single superphosphate (SSP)</v>
      </c>
      <c r="P162" s="192" cm="1">
        <f t="array" ref="P162">Common_InputFunctions.Utility_DisplayArrayInTable(Fertiliser_SourceData.Fertiliser_Products_Data3(), FertiliserProducts[[#Headers],[Company]],61)</f>
        <v>1</v>
      </c>
      <c r="Q162" s="192" t="str" cm="1">
        <f t="array" ref="Q162">Common_InputFunctions.Utility_DisplayArrayInTable(Fertiliser_SourceData.Fertiliser_Products_Data3(), FertiliserProducts[[#Headers],[Company]],61)</f>
        <v/>
      </c>
      <c r="R162" s="192" t="str" cm="1">
        <f t="array" ref="R162">Common_InputFunctions.Utility_DisplayArrayInTable(Fertiliser_SourceData.Fertiliser_Products_Data3(), FertiliserProducts[[#Headers],[Company]],61)</f>
        <v/>
      </c>
      <c r="S162" s="192" t="str" cm="1">
        <f t="array" ref="S162">Common_InputFunctions.Utility_DisplayArrayInTable(Fertiliser_SourceData.Fertiliser_Products_Data3(), FertiliserProducts[[#Headers],[Company]],61)</f>
        <v/>
      </c>
      <c r="T162" s="192" t="str" cm="1">
        <f t="array" ref="T162">Common_InputFunctions.Utility_DisplayArrayInTable(Fertiliser_SourceData.Fertiliser_Products_Data3(), FertiliserProducts[[#Headers],[Company]],61)</f>
        <v/>
      </c>
      <c r="U162" s="192" t="str" cm="1">
        <f t="array" ref="U162">Common_InputFunctions.Utility_DisplayArrayInTable(Fertiliser_SourceData.Fertiliser_Products_Data3(), FertiliserProducts[[#Headers],[Company]],61)</f>
        <v/>
      </c>
      <c r="V162" s="192" t="str" cm="1">
        <f t="array" ref="V162">Common_InputFunctions.Utility_DisplayArrayInTable(Fertiliser_SourceData.Fertiliser_Products_Data3(), FertiliserProducts[[#Headers],[Company]],61)</f>
        <v/>
      </c>
      <c r="W162" s="192" t="str" cm="1">
        <f t="array" ref="W162">Common_InputFunctions.Utility_DisplayArrayInTable(Fertiliser_SourceData.Fertiliser_Products_Data3(), FertiliserProducts[[#Headers],[Company]],61)</f>
        <v/>
      </c>
      <c r="X162" s="192" t="str" cm="1">
        <f t="array" ref="X162">Common_InputFunctions.Utility_DisplayArrayInTable(Fertiliser_SourceData.Fertiliser_Products_Data3(), FertiliserProducts[[#Headers],[Company]],61)</f>
        <v/>
      </c>
      <c r="Y162" s="192" t="str" cm="1">
        <f t="array" ref="Y162">Common_InputFunctions.Utility_DisplayArrayInTable(Fertiliser_SourceData.Fertiliser_Products_Data3(), FertiliserProducts[[#Headers],[Company]],61)</f>
        <v/>
      </c>
      <c r="Z162" s="192" t="str" cm="1">
        <f t="array" ref="Z162">Common_InputFunctions.Utility_DisplayArrayInTable(Fertiliser_SourceData.Fertiliser_Products_Data3(), FertiliserProducts[[#Headers],[Company]],61)</f>
        <v/>
      </c>
      <c r="AA162" s="192" t="str" cm="1">
        <f t="array" ref="AA162">Common_InputFunctions.Utility_DisplayArrayInTable(Fertiliser_SourceData.Fertiliser_Products_Data3(), FertiliserProducts[[#Headers],[Company]],61)</f>
        <v/>
      </c>
      <c r="AB162" s="192" t="str" cm="1">
        <f t="array" ref="AB162">Common_InputFunctions.Utility_DisplayArrayInTable(Fertiliser_SourceData.Fertiliser_Products_Data3(), FertiliserProducts[[#Headers],[Company]],61)</f>
        <v/>
      </c>
      <c r="AC162" s="192" t="str" cm="1">
        <f t="array" ref="AC162">Common_InputFunctions.Utility_DisplayArrayInTable(Fertiliser_SourceData.Fertiliser_Products_Data3(), FertiliserProducts[[#Headers],[Company]],61)</f>
        <v/>
      </c>
      <c r="AD162" s="192" t="str" cm="1">
        <f t="array" ref="AD162">Common_InputFunctions.Utility_DisplayArrayInTable(Fertiliser_SourceData.Fertiliser_Products_Data3(), FertiliserProducts[[#Headers],[Company]],61)</f>
        <v/>
      </c>
      <c r="AE162" s="192" t="str" cm="1">
        <f t="array" ref="AE162">Common_InputFunctions.Utility_DisplayArrayInTable(Fertiliser_SourceData.Fertiliser_Products_Data3(), FertiliserProducts[[#Headers],[Company]],61)</f>
        <v/>
      </c>
      <c r="AF162" s="192" t="str" cm="1">
        <f t="array" ref="AF162">Common_InputFunctions.Utility_DisplayArrayInTable(Fertiliser_SourceData.Fertiliser_Products_Data3(), FertiliserProducts[[#Headers],[Company]],61)</f>
        <v/>
      </c>
      <c r="AG162" s="192" t="str" cm="1">
        <f t="array" ref="AG162">Common_InputFunctions.Utility_DisplayArrayInTable(Fertiliser_SourceData.Fertiliser_Products_Data3(), FertiliserProducts[[#Headers],[Company]],61)</f>
        <v/>
      </c>
      <c r="AH162" s="192" t="str" cm="1">
        <f t="array" ref="AH162">Common_InputFunctions.Utility_DisplayArrayInTable(Fertiliser_SourceData.Fertiliser_Products_Data3(), FertiliserProducts[[#Headers],[Company]],61)</f>
        <v/>
      </c>
      <c r="AK162" s="1"/>
    </row>
    <row r="163" spans="4:37" ht="20.100000000000001" customHeight="1" x14ac:dyDescent="0.25">
      <c r="D163" s="192" t="str" cm="1">
        <f t="array" ref="D163">Common_InputFunctions.Utility_DisplayArrayInTable(Fertiliser_SourceData.Fertiliser_Products_Data3(), FertiliserProducts[[#Headers],[Company]],61)</f>
        <v>Incitec Pivot Fertilisers [listed as Summit]</v>
      </c>
      <c r="E163" s="192" t="str" cm="1">
        <f t="array" ref="E163">Common_InputFunctions.Utility_DisplayArrayInTable(Fertiliser_SourceData.Fertiliser_Products_Data3(), FertiliserProducts[[#Headers],[Company]],61)</f>
        <v>Big N</v>
      </c>
      <c r="F163" s="192" t="str" cm="1">
        <f t="array" ref="F163">Common_InputFunctions.Utility_DisplayArrayInTable(Fertiliser_SourceData.Fertiliser_Products_Data3(), FertiliserProducts[[#Headers],[Company]],61)</f>
        <v>kg</v>
      </c>
      <c r="G163" s="192" cm="1">
        <f t="array" ref="G163">Common_InputFunctions.Utility_DisplayArrayInTable(Fertiliser_SourceData.Fertiliser_Products_Data3(), FertiliserProducts[[#Headers],[Company]],61)</f>
        <v>1</v>
      </c>
      <c r="H163" s="192" t="str" cm="1">
        <f t="array" ref="H163">Common_InputFunctions.Utility_DisplayArrayInTable(Fertiliser_SourceData.Fertiliser_Products_Data3(), FertiliserProducts[[#Headers],[Company]],61)</f>
        <v/>
      </c>
      <c r="I163" s="192" t="str" cm="1">
        <f t="array" ref="I163">Common_InputFunctions.Utility_DisplayArrayInTable(Fertiliser_SourceData.Fertiliser_Products_Data3(), FertiliserProducts[[#Headers],[Company]],61)</f>
        <v/>
      </c>
      <c r="J163" s="192" t="str" cm="1">
        <f t="array" ref="J163">Common_InputFunctions.Utility_DisplayArrayInTable(Fertiliser_SourceData.Fertiliser_Products_Data3(), FertiliserProducts[[#Headers],[Company]],61)</f>
        <v/>
      </c>
      <c r="K163" s="192" cm="1">
        <f t="array" ref="K163">Common_InputFunctions.Utility_DisplayArrayInTable(Fertiliser_SourceData.Fertiliser_Products_Data3(), FertiliserProducts[[#Headers],[Company]],61)</f>
        <v>82.35</v>
      </c>
      <c r="L163" s="192" t="str" cm="1">
        <f t="array" ref="L163">Common_InputFunctions.Utility_DisplayArrayInTable(Fertiliser_SourceData.Fertiliser_Products_Data3(), FertiliserProducts[[#Headers],[Company]],61)</f>
        <v/>
      </c>
      <c r="M163" s="192" t="str" cm="1">
        <f t="array" ref="M163">Common_InputFunctions.Utility_DisplayArrayInTable(Fertiliser_SourceData.Fertiliser_Products_Data3(), FertiliserProducts[[#Headers],[Company]],61)</f>
        <v/>
      </c>
      <c r="N163" s="192" t="str" cm="1">
        <f t="array" ref="N163">Common_InputFunctions.Utility_DisplayArrayInTable(Fertiliser_SourceData.Fertiliser_Products_Data3(), FertiliserProducts[[#Headers],[Company]],61)</f>
        <v/>
      </c>
      <c r="O163" s="192" t="str" cm="1">
        <f t="array" ref="O163">Common_InputFunctions.Utility_DisplayArrayInTable(Fertiliser_SourceData.Fertiliser_Products_Data3(), FertiliserProducts[[#Headers],[Company]],61)</f>
        <v>Ammonia</v>
      </c>
      <c r="P163" s="192" cm="1">
        <f t="array" ref="P163">Common_InputFunctions.Utility_DisplayArrayInTable(Fertiliser_SourceData.Fertiliser_Products_Data3(), FertiliserProducts[[#Headers],[Company]],61)</f>
        <v>1</v>
      </c>
      <c r="Q163" s="192" t="str" cm="1">
        <f t="array" ref="Q163">Common_InputFunctions.Utility_DisplayArrayInTable(Fertiliser_SourceData.Fertiliser_Products_Data3(), FertiliserProducts[[#Headers],[Company]],61)</f>
        <v/>
      </c>
      <c r="R163" s="192" t="str" cm="1">
        <f t="array" ref="R163">Common_InputFunctions.Utility_DisplayArrayInTable(Fertiliser_SourceData.Fertiliser_Products_Data3(), FertiliserProducts[[#Headers],[Company]],61)</f>
        <v/>
      </c>
      <c r="S163" s="192" t="str" cm="1">
        <f t="array" ref="S163">Common_InputFunctions.Utility_DisplayArrayInTable(Fertiliser_SourceData.Fertiliser_Products_Data3(), FertiliserProducts[[#Headers],[Company]],61)</f>
        <v/>
      </c>
      <c r="T163" s="192" t="str" cm="1">
        <f t="array" ref="T163">Common_InputFunctions.Utility_DisplayArrayInTable(Fertiliser_SourceData.Fertiliser_Products_Data3(), FertiliserProducts[[#Headers],[Company]],61)</f>
        <v/>
      </c>
      <c r="U163" s="192" t="str" cm="1">
        <f t="array" ref="U163">Common_InputFunctions.Utility_DisplayArrayInTable(Fertiliser_SourceData.Fertiliser_Products_Data3(), FertiliserProducts[[#Headers],[Company]],61)</f>
        <v/>
      </c>
      <c r="V163" s="192" t="str" cm="1">
        <f t="array" ref="V163">Common_InputFunctions.Utility_DisplayArrayInTable(Fertiliser_SourceData.Fertiliser_Products_Data3(), FertiliserProducts[[#Headers],[Company]],61)</f>
        <v/>
      </c>
      <c r="W163" s="192" t="str" cm="1">
        <f t="array" ref="W163">Common_InputFunctions.Utility_DisplayArrayInTable(Fertiliser_SourceData.Fertiliser_Products_Data3(), FertiliserProducts[[#Headers],[Company]],61)</f>
        <v/>
      </c>
      <c r="X163" s="192" t="str" cm="1">
        <f t="array" ref="X163">Common_InputFunctions.Utility_DisplayArrayInTable(Fertiliser_SourceData.Fertiliser_Products_Data3(), FertiliserProducts[[#Headers],[Company]],61)</f>
        <v/>
      </c>
      <c r="Y163" s="192" t="str" cm="1">
        <f t="array" ref="Y163">Common_InputFunctions.Utility_DisplayArrayInTable(Fertiliser_SourceData.Fertiliser_Products_Data3(), FertiliserProducts[[#Headers],[Company]],61)</f>
        <v/>
      </c>
      <c r="Z163" s="192" t="str" cm="1">
        <f t="array" ref="Z163">Common_InputFunctions.Utility_DisplayArrayInTable(Fertiliser_SourceData.Fertiliser_Products_Data3(), FertiliserProducts[[#Headers],[Company]],61)</f>
        <v/>
      </c>
      <c r="AA163" s="192" t="str" cm="1">
        <f t="array" ref="AA163">Common_InputFunctions.Utility_DisplayArrayInTable(Fertiliser_SourceData.Fertiliser_Products_Data3(), FertiliserProducts[[#Headers],[Company]],61)</f>
        <v/>
      </c>
      <c r="AB163" s="192" t="str" cm="1">
        <f t="array" ref="AB163">Common_InputFunctions.Utility_DisplayArrayInTable(Fertiliser_SourceData.Fertiliser_Products_Data3(), FertiliserProducts[[#Headers],[Company]],61)</f>
        <v/>
      </c>
      <c r="AC163" s="192" t="str" cm="1">
        <f t="array" ref="AC163">Common_InputFunctions.Utility_DisplayArrayInTable(Fertiliser_SourceData.Fertiliser_Products_Data3(), FertiliserProducts[[#Headers],[Company]],61)</f>
        <v/>
      </c>
      <c r="AD163" s="192" t="str" cm="1">
        <f t="array" ref="AD163">Common_InputFunctions.Utility_DisplayArrayInTable(Fertiliser_SourceData.Fertiliser_Products_Data3(), FertiliserProducts[[#Headers],[Company]],61)</f>
        <v/>
      </c>
      <c r="AE163" s="192" t="str" cm="1">
        <f t="array" ref="AE163">Common_InputFunctions.Utility_DisplayArrayInTable(Fertiliser_SourceData.Fertiliser_Products_Data3(), FertiliserProducts[[#Headers],[Company]],61)</f>
        <v/>
      </c>
      <c r="AF163" s="192" t="str" cm="1">
        <f t="array" ref="AF163">Common_InputFunctions.Utility_DisplayArrayInTable(Fertiliser_SourceData.Fertiliser_Products_Data3(), FertiliserProducts[[#Headers],[Company]],61)</f>
        <v/>
      </c>
      <c r="AG163" s="192" t="str" cm="1">
        <f t="array" ref="AG163">Common_InputFunctions.Utility_DisplayArrayInTable(Fertiliser_SourceData.Fertiliser_Products_Data3(), FertiliserProducts[[#Headers],[Company]],61)</f>
        <v/>
      </c>
      <c r="AH163" s="192" t="str" cm="1">
        <f t="array" ref="AH163">Common_InputFunctions.Utility_DisplayArrayInTable(Fertiliser_SourceData.Fertiliser_Products_Data3(), FertiliserProducts[[#Headers],[Company]],61)</f>
        <v/>
      </c>
      <c r="AK163" s="1"/>
    </row>
    <row r="164" spans="4:37" ht="20.100000000000001" customHeight="1" x14ac:dyDescent="0.25">
      <c r="D164" s="192" t="str" cm="1">
        <f t="array" ref="D164">Common_InputFunctions.Utility_DisplayArrayInTable(Fertiliser_SourceData.Fertiliser_Products_Data3(), FertiliserProducts[[#Headers],[Company]],61)</f>
        <v>Incitec Pivot Fertilisers</v>
      </c>
      <c r="E164" s="192" t="str" cm="1">
        <f t="array" ref="E164">Common_InputFunctions.Utility_DisplayArrayInTable(Fertiliser_SourceData.Fertiliser_Products_Data3(), FertiliserProducts[[#Headers],[Company]],61)</f>
        <v>Entec Urea</v>
      </c>
      <c r="F164" s="192" t="str" cm="1">
        <f t="array" ref="F164">Common_InputFunctions.Utility_DisplayArrayInTable(Fertiliser_SourceData.Fertiliser_Products_Data3(), FertiliserProducts[[#Headers],[Company]],61)</f>
        <v>kg</v>
      </c>
      <c r="G164" s="192" cm="1">
        <f t="array" ref="G164">Common_InputFunctions.Utility_DisplayArrayInTable(Fertiliser_SourceData.Fertiliser_Products_Data3(), FertiliserProducts[[#Headers],[Company]],61)</f>
        <v>1</v>
      </c>
      <c r="H164" s="192" t="str" cm="1">
        <f t="array" ref="H164">Common_InputFunctions.Utility_DisplayArrayInTable(Fertiliser_SourceData.Fertiliser_Products_Data3(), FertiliserProducts[[#Headers],[Company]],61)</f>
        <v>Yes</v>
      </c>
      <c r="I164" s="192" t="str" cm="1">
        <f t="array" ref="I164">Common_InputFunctions.Utility_DisplayArrayInTable(Fertiliser_SourceData.Fertiliser_Products_Data3(), FertiliserProducts[[#Headers],[Company]],61)</f>
        <v/>
      </c>
      <c r="J164" s="192" t="str" cm="1">
        <f t="array" ref="J164">Common_InputFunctions.Utility_DisplayArrayInTable(Fertiliser_SourceData.Fertiliser_Products_Data3(), FertiliserProducts[[#Headers],[Company]],61)</f>
        <v/>
      </c>
      <c r="K164" s="192" cm="1">
        <f t="array" ref="K164">Common_InputFunctions.Utility_DisplayArrayInTable(Fertiliser_SourceData.Fertiliser_Products_Data3(), FertiliserProducts[[#Headers],[Company]],61)</f>
        <v>46</v>
      </c>
      <c r="L164" s="192" t="str" cm="1">
        <f t="array" ref="L164">Common_InputFunctions.Utility_DisplayArrayInTable(Fertiliser_SourceData.Fertiliser_Products_Data3(), FertiliserProducts[[#Headers],[Company]],61)</f>
        <v/>
      </c>
      <c r="M164" s="192" t="str" cm="1">
        <f t="array" ref="M164">Common_InputFunctions.Utility_DisplayArrayInTable(Fertiliser_SourceData.Fertiliser_Products_Data3(), FertiliserProducts[[#Headers],[Company]],61)</f>
        <v/>
      </c>
      <c r="N164" s="192" t="str" cm="1">
        <f t="array" ref="N164">Common_InputFunctions.Utility_DisplayArrayInTable(Fertiliser_SourceData.Fertiliser_Products_Data3(), FertiliserProducts[[#Headers],[Company]],61)</f>
        <v/>
      </c>
      <c r="O164" s="192" t="str" cm="1">
        <f t="array" ref="O164">Common_InputFunctions.Utility_DisplayArrayInTable(Fertiliser_SourceData.Fertiliser_Products_Data3(), FertiliserProducts[[#Headers],[Company]],61)</f>
        <v>Urea</v>
      </c>
      <c r="P164" s="192" cm="1">
        <f t="array" ref="P164">Common_InputFunctions.Utility_DisplayArrayInTable(Fertiliser_SourceData.Fertiliser_Products_Data3(), FertiliserProducts[[#Headers],[Company]],61)</f>
        <v>1</v>
      </c>
      <c r="Q164" s="192" t="str" cm="1">
        <f t="array" ref="Q164">Common_InputFunctions.Utility_DisplayArrayInTable(Fertiliser_SourceData.Fertiliser_Products_Data3(), FertiliserProducts[[#Headers],[Company]],61)</f>
        <v/>
      </c>
      <c r="R164" s="192" t="str" cm="1">
        <f t="array" ref="R164">Common_InputFunctions.Utility_DisplayArrayInTable(Fertiliser_SourceData.Fertiliser_Products_Data3(), FertiliserProducts[[#Headers],[Company]],61)</f>
        <v/>
      </c>
      <c r="S164" s="192" t="str" cm="1">
        <f t="array" ref="S164">Common_InputFunctions.Utility_DisplayArrayInTable(Fertiliser_SourceData.Fertiliser_Products_Data3(), FertiliserProducts[[#Headers],[Company]],61)</f>
        <v/>
      </c>
      <c r="T164" s="192" t="str" cm="1">
        <f t="array" ref="T164">Common_InputFunctions.Utility_DisplayArrayInTable(Fertiliser_SourceData.Fertiliser_Products_Data3(), FertiliserProducts[[#Headers],[Company]],61)</f>
        <v/>
      </c>
      <c r="U164" s="192" t="str" cm="1">
        <f t="array" ref="U164">Common_InputFunctions.Utility_DisplayArrayInTable(Fertiliser_SourceData.Fertiliser_Products_Data3(), FertiliserProducts[[#Headers],[Company]],61)</f>
        <v/>
      </c>
      <c r="V164" s="192" t="str" cm="1">
        <f t="array" ref="V164">Common_InputFunctions.Utility_DisplayArrayInTable(Fertiliser_SourceData.Fertiliser_Products_Data3(), FertiliserProducts[[#Headers],[Company]],61)</f>
        <v/>
      </c>
      <c r="W164" s="192" t="str" cm="1">
        <f t="array" ref="W164">Common_InputFunctions.Utility_DisplayArrayInTable(Fertiliser_SourceData.Fertiliser_Products_Data3(), FertiliserProducts[[#Headers],[Company]],61)</f>
        <v/>
      </c>
      <c r="X164" s="192" t="str" cm="1">
        <f t="array" ref="X164">Common_InputFunctions.Utility_DisplayArrayInTable(Fertiliser_SourceData.Fertiliser_Products_Data3(), FertiliserProducts[[#Headers],[Company]],61)</f>
        <v/>
      </c>
      <c r="Y164" s="192" t="str" cm="1">
        <f t="array" ref="Y164">Common_InputFunctions.Utility_DisplayArrayInTable(Fertiliser_SourceData.Fertiliser_Products_Data3(), FertiliserProducts[[#Headers],[Company]],61)</f>
        <v/>
      </c>
      <c r="Z164" s="192" t="str" cm="1">
        <f t="array" ref="Z164">Common_InputFunctions.Utility_DisplayArrayInTable(Fertiliser_SourceData.Fertiliser_Products_Data3(), FertiliserProducts[[#Headers],[Company]],61)</f>
        <v/>
      </c>
      <c r="AA164" s="192" t="str" cm="1">
        <f t="array" ref="AA164">Common_InputFunctions.Utility_DisplayArrayInTable(Fertiliser_SourceData.Fertiliser_Products_Data3(), FertiliserProducts[[#Headers],[Company]],61)</f>
        <v/>
      </c>
      <c r="AB164" s="192" t="str" cm="1">
        <f t="array" ref="AB164">Common_InputFunctions.Utility_DisplayArrayInTable(Fertiliser_SourceData.Fertiliser_Products_Data3(), FertiliserProducts[[#Headers],[Company]],61)</f>
        <v/>
      </c>
      <c r="AC164" s="192" t="str" cm="1">
        <f t="array" ref="AC164">Common_InputFunctions.Utility_DisplayArrayInTable(Fertiliser_SourceData.Fertiliser_Products_Data3(), FertiliserProducts[[#Headers],[Company]],61)</f>
        <v/>
      </c>
      <c r="AD164" s="192" t="str" cm="1">
        <f t="array" ref="AD164">Common_InputFunctions.Utility_DisplayArrayInTable(Fertiliser_SourceData.Fertiliser_Products_Data3(), FertiliserProducts[[#Headers],[Company]],61)</f>
        <v/>
      </c>
      <c r="AE164" s="192" t="str" cm="1">
        <f t="array" ref="AE164">Common_InputFunctions.Utility_DisplayArrayInTable(Fertiliser_SourceData.Fertiliser_Products_Data3(), FertiliserProducts[[#Headers],[Company]],61)</f>
        <v/>
      </c>
      <c r="AF164" s="192" t="str" cm="1">
        <f t="array" ref="AF164">Common_InputFunctions.Utility_DisplayArrayInTable(Fertiliser_SourceData.Fertiliser_Products_Data3(), FertiliserProducts[[#Headers],[Company]],61)</f>
        <v/>
      </c>
      <c r="AG164" s="192" t="str" cm="1">
        <f t="array" ref="AG164">Common_InputFunctions.Utility_DisplayArrayInTable(Fertiliser_SourceData.Fertiliser_Products_Data3(), FertiliserProducts[[#Headers],[Company]],61)</f>
        <v/>
      </c>
      <c r="AH164" s="192" t="str" cm="1">
        <f t="array" ref="AH164">Common_InputFunctions.Utility_DisplayArrayInTable(Fertiliser_SourceData.Fertiliser_Products_Data3(), FertiliserProducts[[#Headers],[Company]],61)</f>
        <v/>
      </c>
      <c r="AK164" s="1"/>
    </row>
    <row r="165" spans="4:37" ht="20.100000000000001" customHeight="1" x14ac:dyDescent="0.25">
      <c r="D165" s="192" t="str" cm="1">
        <f t="array" ref="D165">Common_InputFunctions.Utility_DisplayArrayInTable(Fertiliser_SourceData.Fertiliser_Products_Data3(), FertiliserProducts[[#Headers],[Company]],61)</f>
        <v>Incitec Pivot Fertilisers (or Ravensdown - see note)</v>
      </c>
      <c r="E165" s="192" t="str" cm="1">
        <f t="array" ref="E165">Common_InputFunctions.Utility_DisplayArrayInTable(Fertiliser_SourceData.Fertiliser_Products_Data3(), FertiliserProducts[[#Headers],[Company]],61)</f>
        <v>Flexi-N NI only</v>
      </c>
      <c r="F165" s="192" t="str" cm="1">
        <f t="array" ref="F165">Common_InputFunctions.Utility_DisplayArrayInTable(Fertiliser_SourceData.Fertiliser_Products_Data3(), FertiliserProducts[[#Headers],[Company]],61)</f>
        <v>kg</v>
      </c>
      <c r="G165" s="192" cm="1">
        <f t="array" ref="G165">Common_InputFunctions.Utility_DisplayArrayInTable(Fertiliser_SourceData.Fertiliser_Products_Data3(), FertiliserProducts[[#Headers],[Company]],61)</f>
        <v>1</v>
      </c>
      <c r="H165" s="192" t="str" cm="1">
        <f t="array" ref="H165">Common_InputFunctions.Utility_DisplayArrayInTable(Fertiliser_SourceData.Fertiliser_Products_Data3(), FertiliserProducts[[#Headers],[Company]],61)</f>
        <v>Yes</v>
      </c>
      <c r="I165" s="192" t="str" cm="1">
        <f t="array" ref="I165">Common_InputFunctions.Utility_DisplayArrayInTable(Fertiliser_SourceData.Fertiliser_Products_Data3(), FertiliserProducts[[#Headers],[Company]],61)</f>
        <v/>
      </c>
      <c r="J165" s="192" t="str" cm="1">
        <f t="array" ref="J165">Common_InputFunctions.Utility_DisplayArrayInTable(Fertiliser_SourceData.Fertiliser_Products_Data3(), FertiliserProducts[[#Headers],[Company]],61)</f>
        <v/>
      </c>
      <c r="K165" s="192" cm="1">
        <f t="array" ref="K165">Common_InputFunctions.Utility_DisplayArrayInTable(Fertiliser_SourceData.Fertiliser_Products_Data3(), FertiliserProducts[[#Headers],[Company]],61)</f>
        <v>45.54</v>
      </c>
      <c r="L165" s="192" t="str" cm="1">
        <f t="array" ref="L165">Common_InputFunctions.Utility_DisplayArrayInTable(Fertiliser_SourceData.Fertiliser_Products_Data3(), FertiliserProducts[[#Headers],[Company]],61)</f>
        <v/>
      </c>
      <c r="M165" s="192" t="str" cm="1">
        <f t="array" ref="M165">Common_InputFunctions.Utility_DisplayArrayInTable(Fertiliser_SourceData.Fertiliser_Products_Data3(), FertiliserProducts[[#Headers],[Company]],61)</f>
        <v/>
      </c>
      <c r="N165" s="192" t="str" cm="1">
        <f t="array" ref="N165">Common_InputFunctions.Utility_DisplayArrayInTable(Fertiliser_SourceData.Fertiliser_Products_Data3(), FertiliserProducts[[#Headers],[Company]],61)</f>
        <v/>
      </c>
      <c r="O165" s="192" t="str" cm="1">
        <f t="array" ref="O165">Common_InputFunctions.Utility_DisplayArrayInTable(Fertiliser_SourceData.Fertiliser_Products_Data3(), FertiliserProducts[[#Headers],[Company]],61)</f>
        <v>Urea</v>
      </c>
      <c r="P165" s="192" cm="1">
        <f t="array" ref="P165">Common_InputFunctions.Utility_DisplayArrayInTable(Fertiliser_SourceData.Fertiliser_Products_Data3(), FertiliserProducts[[#Headers],[Company]],61)</f>
        <v>0.99</v>
      </c>
      <c r="Q165" s="192" t="str" cm="1">
        <f t="array" ref="Q165">Common_InputFunctions.Utility_DisplayArrayInTable(Fertiliser_SourceData.Fertiliser_Products_Data3(), FertiliserProducts[[#Headers],[Company]],61)</f>
        <v>Urease/nitrification inhibitor</v>
      </c>
      <c r="R165" s="192" cm="1">
        <f t="array" ref="R165">Common_InputFunctions.Utility_DisplayArrayInTable(Fertiliser_SourceData.Fertiliser_Products_Data3(), FertiliserProducts[[#Headers],[Company]],61)</f>
        <v>0.01</v>
      </c>
      <c r="S165" s="192" t="str" cm="1">
        <f t="array" ref="S165">Common_InputFunctions.Utility_DisplayArrayInTable(Fertiliser_SourceData.Fertiliser_Products_Data3(), FertiliserProducts[[#Headers],[Company]],61)</f>
        <v/>
      </c>
      <c r="T165" s="192" t="str" cm="1">
        <f t="array" ref="T165">Common_InputFunctions.Utility_DisplayArrayInTable(Fertiliser_SourceData.Fertiliser_Products_Data3(), FertiliserProducts[[#Headers],[Company]],61)</f>
        <v/>
      </c>
      <c r="U165" s="192" t="str" cm="1">
        <f t="array" ref="U165">Common_InputFunctions.Utility_DisplayArrayInTable(Fertiliser_SourceData.Fertiliser_Products_Data3(), FertiliserProducts[[#Headers],[Company]],61)</f>
        <v/>
      </c>
      <c r="V165" s="192" t="str" cm="1">
        <f t="array" ref="V165">Common_InputFunctions.Utility_DisplayArrayInTable(Fertiliser_SourceData.Fertiliser_Products_Data3(), FertiliserProducts[[#Headers],[Company]],61)</f>
        <v/>
      </c>
      <c r="W165" s="192" t="str" cm="1">
        <f t="array" ref="W165">Common_InputFunctions.Utility_DisplayArrayInTable(Fertiliser_SourceData.Fertiliser_Products_Data3(), FertiliserProducts[[#Headers],[Company]],61)</f>
        <v/>
      </c>
      <c r="X165" s="192" t="str" cm="1">
        <f t="array" ref="X165">Common_InputFunctions.Utility_DisplayArrayInTable(Fertiliser_SourceData.Fertiliser_Products_Data3(), FertiliserProducts[[#Headers],[Company]],61)</f>
        <v/>
      </c>
      <c r="Y165" s="192" t="str" cm="1">
        <f t="array" ref="Y165">Common_InputFunctions.Utility_DisplayArrayInTable(Fertiliser_SourceData.Fertiliser_Products_Data3(), FertiliserProducts[[#Headers],[Company]],61)</f>
        <v/>
      </c>
      <c r="Z165" s="192" t="str" cm="1">
        <f t="array" ref="Z165">Common_InputFunctions.Utility_DisplayArrayInTable(Fertiliser_SourceData.Fertiliser_Products_Data3(), FertiliserProducts[[#Headers],[Company]],61)</f>
        <v/>
      </c>
      <c r="AA165" s="192" t="str" cm="1">
        <f t="array" ref="AA165">Common_InputFunctions.Utility_DisplayArrayInTable(Fertiliser_SourceData.Fertiliser_Products_Data3(), FertiliserProducts[[#Headers],[Company]],61)</f>
        <v/>
      </c>
      <c r="AB165" s="192" t="str" cm="1">
        <f t="array" ref="AB165">Common_InputFunctions.Utility_DisplayArrayInTable(Fertiliser_SourceData.Fertiliser_Products_Data3(), FertiliserProducts[[#Headers],[Company]],61)</f>
        <v/>
      </c>
      <c r="AC165" s="192" t="str" cm="1">
        <f t="array" ref="AC165">Common_InputFunctions.Utility_DisplayArrayInTable(Fertiliser_SourceData.Fertiliser_Products_Data3(), FertiliserProducts[[#Headers],[Company]],61)</f>
        <v/>
      </c>
      <c r="AD165" s="192" t="str" cm="1">
        <f t="array" ref="AD165">Common_InputFunctions.Utility_DisplayArrayInTable(Fertiliser_SourceData.Fertiliser_Products_Data3(), FertiliserProducts[[#Headers],[Company]],61)</f>
        <v/>
      </c>
      <c r="AE165" s="192" t="str" cm="1">
        <f t="array" ref="AE165">Common_InputFunctions.Utility_DisplayArrayInTable(Fertiliser_SourceData.Fertiliser_Products_Data3(), FertiliserProducts[[#Headers],[Company]],61)</f>
        <v/>
      </c>
      <c r="AF165" s="192" t="str" cm="1">
        <f t="array" ref="AF165">Common_InputFunctions.Utility_DisplayArrayInTable(Fertiliser_SourceData.Fertiliser_Products_Data3(), FertiliserProducts[[#Headers],[Company]],61)</f>
        <v/>
      </c>
      <c r="AG165" s="192" t="str" cm="1">
        <f t="array" ref="AG165">Common_InputFunctions.Utility_DisplayArrayInTable(Fertiliser_SourceData.Fertiliser_Products_Data3(), FertiliserProducts[[#Headers],[Company]],61)</f>
        <v/>
      </c>
      <c r="AH165" s="192" t="str" cm="1">
        <f t="array" ref="AH165">Common_InputFunctions.Utility_DisplayArrayInTable(Fertiliser_SourceData.Fertiliser_Products_Data3(), FertiliserProducts[[#Headers],[Company]],61)</f>
        <v/>
      </c>
      <c r="AK165" s="1"/>
    </row>
    <row r="166" spans="4:37" x14ac:dyDescent="0.25">
      <c r="D166" s="192" t="str" cm="1">
        <f t="array" ref="D166">Common_InputFunctions.Utility_DisplayArrayInTable(Fertiliser_SourceData.Fertiliser_Products_Data3(), FertiliserProducts[[#Headers],[Company]],61)</f>
        <v>Nutri-Tech Solutions (NTS)</v>
      </c>
      <c r="E166" s="192" t="str" cm="1">
        <f t="array" ref="E166">Common_InputFunctions.Utility_DisplayArrayInTable(Fertiliser_SourceData.Fertiliser_Products_Data3(), FertiliserProducts[[#Headers],[Company]],61)</f>
        <v>Muriate Of Potash MOP</v>
      </c>
      <c r="F166" s="192" t="str" cm="1">
        <f t="array" ref="F166">Common_InputFunctions.Utility_DisplayArrayInTable(Fertiliser_SourceData.Fertiliser_Products_Data3(), FertiliserProducts[[#Headers],[Company]],61)</f>
        <v>kg</v>
      </c>
      <c r="G166" s="192" cm="1">
        <f t="array" ref="G166">Common_InputFunctions.Utility_DisplayArrayInTable(Fertiliser_SourceData.Fertiliser_Products_Data3(), FertiliserProducts[[#Headers],[Company]],61)</f>
        <v>1</v>
      </c>
      <c r="H166" s="192" t="str" cm="1">
        <f t="array" ref="H166">Common_InputFunctions.Utility_DisplayArrayInTable(Fertiliser_SourceData.Fertiliser_Products_Data3(), FertiliserProducts[[#Headers],[Company]],61)</f>
        <v/>
      </c>
      <c r="I166" s="192" t="str" cm="1">
        <f t="array" ref="I166">Common_InputFunctions.Utility_DisplayArrayInTable(Fertiliser_SourceData.Fertiliser_Products_Data3(), FertiliserProducts[[#Headers],[Company]],61)</f>
        <v/>
      </c>
      <c r="J166" s="192" t="str" cm="1">
        <f t="array" ref="J166">Common_InputFunctions.Utility_DisplayArrayInTable(Fertiliser_SourceData.Fertiliser_Products_Data3(), FertiliserProducts[[#Headers],[Company]],61)</f>
        <v/>
      </c>
      <c r="K166" s="192" t="str" cm="1">
        <f t="array" ref="K166">Common_InputFunctions.Utility_DisplayArrayInTable(Fertiliser_SourceData.Fertiliser_Products_Data3(), FertiliserProducts[[#Headers],[Company]],61)</f>
        <v/>
      </c>
      <c r="L166" s="192" t="str" cm="1">
        <f t="array" ref="L166">Common_InputFunctions.Utility_DisplayArrayInTable(Fertiliser_SourceData.Fertiliser_Products_Data3(), FertiliserProducts[[#Headers],[Company]],61)</f>
        <v/>
      </c>
      <c r="M166" s="192" cm="1">
        <f t="array" ref="M166">Common_InputFunctions.Utility_DisplayArrayInTable(Fertiliser_SourceData.Fertiliser_Products_Data3(), FertiliserProducts[[#Headers],[Company]],61)</f>
        <v>50</v>
      </c>
      <c r="N166" s="192" t="str" cm="1">
        <f t="array" ref="N166">Common_InputFunctions.Utility_DisplayArrayInTable(Fertiliser_SourceData.Fertiliser_Products_Data3(), FertiliserProducts[[#Headers],[Company]],61)</f>
        <v/>
      </c>
      <c r="O166" s="192" t="str" cm="1">
        <f t="array" ref="O166">Common_InputFunctions.Utility_DisplayArrayInTable(Fertiliser_SourceData.Fertiliser_Products_Data3(), FertiliserProducts[[#Headers],[Company]],61)</f>
        <v>Muriate of potash (MOP)</v>
      </c>
      <c r="P166" s="192" cm="1">
        <f t="array" ref="P166">Common_InputFunctions.Utility_DisplayArrayInTable(Fertiliser_SourceData.Fertiliser_Products_Data3(), FertiliserProducts[[#Headers],[Company]],61)</f>
        <v>1</v>
      </c>
      <c r="Q166" s="192" t="str" cm="1">
        <f t="array" ref="Q166">Common_InputFunctions.Utility_DisplayArrayInTable(Fertiliser_SourceData.Fertiliser_Products_Data3(), FertiliserProducts[[#Headers],[Company]],61)</f>
        <v/>
      </c>
      <c r="R166" s="192" t="str" cm="1">
        <f t="array" ref="R166">Common_InputFunctions.Utility_DisplayArrayInTable(Fertiliser_SourceData.Fertiliser_Products_Data3(), FertiliserProducts[[#Headers],[Company]],61)</f>
        <v/>
      </c>
      <c r="S166" s="192" t="str" cm="1">
        <f t="array" ref="S166">Common_InputFunctions.Utility_DisplayArrayInTable(Fertiliser_SourceData.Fertiliser_Products_Data3(), FertiliserProducts[[#Headers],[Company]],61)</f>
        <v/>
      </c>
      <c r="T166" s="192" t="str" cm="1">
        <f t="array" ref="T166">Common_InputFunctions.Utility_DisplayArrayInTable(Fertiliser_SourceData.Fertiliser_Products_Data3(), FertiliserProducts[[#Headers],[Company]],61)</f>
        <v/>
      </c>
      <c r="U166" s="192" t="str" cm="1">
        <f t="array" ref="U166">Common_InputFunctions.Utility_DisplayArrayInTable(Fertiliser_SourceData.Fertiliser_Products_Data3(), FertiliserProducts[[#Headers],[Company]],61)</f>
        <v/>
      </c>
      <c r="V166" s="192" t="str" cm="1">
        <f t="array" ref="V166">Common_InputFunctions.Utility_DisplayArrayInTable(Fertiliser_SourceData.Fertiliser_Products_Data3(), FertiliserProducts[[#Headers],[Company]],61)</f>
        <v/>
      </c>
      <c r="W166" s="192" t="str" cm="1">
        <f t="array" ref="W166">Common_InputFunctions.Utility_DisplayArrayInTable(Fertiliser_SourceData.Fertiliser_Products_Data3(), FertiliserProducts[[#Headers],[Company]],61)</f>
        <v/>
      </c>
      <c r="X166" s="192" t="str" cm="1">
        <f t="array" ref="X166">Common_InputFunctions.Utility_DisplayArrayInTable(Fertiliser_SourceData.Fertiliser_Products_Data3(), FertiliserProducts[[#Headers],[Company]],61)</f>
        <v/>
      </c>
      <c r="Y166" s="192" t="str" cm="1">
        <f t="array" ref="Y166">Common_InputFunctions.Utility_DisplayArrayInTable(Fertiliser_SourceData.Fertiliser_Products_Data3(), FertiliserProducts[[#Headers],[Company]],61)</f>
        <v/>
      </c>
      <c r="Z166" s="192" t="str" cm="1">
        <f t="array" ref="Z166">Common_InputFunctions.Utility_DisplayArrayInTable(Fertiliser_SourceData.Fertiliser_Products_Data3(), FertiliserProducts[[#Headers],[Company]],61)</f>
        <v/>
      </c>
      <c r="AA166" s="192" t="str" cm="1">
        <f t="array" ref="AA166">Common_InputFunctions.Utility_DisplayArrayInTable(Fertiliser_SourceData.Fertiliser_Products_Data3(), FertiliserProducts[[#Headers],[Company]],61)</f>
        <v/>
      </c>
      <c r="AB166" s="192" t="str" cm="1">
        <f t="array" ref="AB166">Common_InputFunctions.Utility_DisplayArrayInTable(Fertiliser_SourceData.Fertiliser_Products_Data3(), FertiliserProducts[[#Headers],[Company]],61)</f>
        <v/>
      </c>
      <c r="AC166" s="192" t="str" cm="1">
        <f t="array" ref="AC166">Common_InputFunctions.Utility_DisplayArrayInTable(Fertiliser_SourceData.Fertiliser_Products_Data3(), FertiliserProducts[[#Headers],[Company]],61)</f>
        <v/>
      </c>
      <c r="AD166" s="192" t="str" cm="1">
        <f t="array" ref="AD166">Common_InputFunctions.Utility_DisplayArrayInTable(Fertiliser_SourceData.Fertiliser_Products_Data3(), FertiliserProducts[[#Headers],[Company]],61)</f>
        <v/>
      </c>
      <c r="AE166" s="192" t="str" cm="1">
        <f t="array" ref="AE166">Common_InputFunctions.Utility_DisplayArrayInTable(Fertiliser_SourceData.Fertiliser_Products_Data3(), FertiliserProducts[[#Headers],[Company]],61)</f>
        <v/>
      </c>
      <c r="AF166" s="192" t="str" cm="1">
        <f t="array" ref="AF166">Common_InputFunctions.Utility_DisplayArrayInTable(Fertiliser_SourceData.Fertiliser_Products_Data3(), FertiliserProducts[[#Headers],[Company]],61)</f>
        <v/>
      </c>
      <c r="AG166" s="192" t="str" cm="1">
        <f t="array" ref="AG166">Common_InputFunctions.Utility_DisplayArrayInTable(Fertiliser_SourceData.Fertiliser_Products_Data3(), FertiliserProducts[[#Headers],[Company]],61)</f>
        <v/>
      </c>
      <c r="AH166" s="192" t="str" cm="1">
        <f t="array" ref="AH166">Common_InputFunctions.Utility_DisplayArrayInTable(Fertiliser_SourceData.Fertiliser_Products_Data3(), FertiliserProducts[[#Headers],[Company]],61)</f>
        <v/>
      </c>
      <c r="AK166" s="1"/>
    </row>
    <row r="167" spans="4:37" x14ac:dyDescent="0.25">
      <c r="D167" s="192" t="str" cm="1">
        <f t="array" ref="D167">Common_InputFunctions.Utility_DisplayArrayInTable(Fertiliser_SourceData.Fertiliser_Products_Data3(), FertiliserProducts[[#Headers],[Company]],61)</f>
        <v>Nuturf</v>
      </c>
      <c r="E167" s="192" t="str" cm="1">
        <f t="array" ref="E167">Common_InputFunctions.Utility_DisplayArrayInTable(Fertiliser_SourceData.Fertiliser_Products_Data3(), FertiliserProducts[[#Headers],[Company]],61)</f>
        <v>MAP NUTURF</v>
      </c>
      <c r="F167" s="192" t="str" cm="1">
        <f t="array" ref="F167">Common_InputFunctions.Utility_DisplayArrayInTable(Fertiliser_SourceData.Fertiliser_Products_Data3(), FertiliserProducts[[#Headers],[Company]],61)</f>
        <v>kg</v>
      </c>
      <c r="G167" s="192" cm="1">
        <f t="array" ref="G167">Common_InputFunctions.Utility_DisplayArrayInTable(Fertiliser_SourceData.Fertiliser_Products_Data3(), FertiliserProducts[[#Headers],[Company]],61)</f>
        <v>1</v>
      </c>
      <c r="H167" s="192" t="str" cm="1">
        <f t="array" ref="H167">Common_InputFunctions.Utility_DisplayArrayInTable(Fertiliser_SourceData.Fertiliser_Products_Data3(), FertiliserProducts[[#Headers],[Company]],61)</f>
        <v/>
      </c>
      <c r="I167" s="192" t="str" cm="1">
        <f t="array" ref="I167">Common_InputFunctions.Utility_DisplayArrayInTable(Fertiliser_SourceData.Fertiliser_Products_Data3(), FertiliserProducts[[#Headers],[Company]],61)</f>
        <v/>
      </c>
      <c r="J167" s="192" t="str" cm="1">
        <f t="array" ref="J167">Common_InputFunctions.Utility_DisplayArrayInTable(Fertiliser_SourceData.Fertiliser_Products_Data3(), FertiliserProducts[[#Headers],[Company]],61)</f>
        <v/>
      </c>
      <c r="K167" s="192" cm="1">
        <f t="array" ref="K167">Common_InputFunctions.Utility_DisplayArrayInTable(Fertiliser_SourceData.Fertiliser_Products_Data3(), FertiliserProducts[[#Headers],[Company]],61)</f>
        <v>10</v>
      </c>
      <c r="L167" s="192" cm="1">
        <f t="array" ref="L167">Common_InputFunctions.Utility_DisplayArrayInTable(Fertiliser_SourceData.Fertiliser_Products_Data3(), FertiliserProducts[[#Headers],[Company]],61)</f>
        <v>21.9</v>
      </c>
      <c r="M167" s="192" t="str" cm="1">
        <f t="array" ref="M167">Common_InputFunctions.Utility_DisplayArrayInTable(Fertiliser_SourceData.Fertiliser_Products_Data3(), FertiliserProducts[[#Headers],[Company]],61)</f>
        <v/>
      </c>
      <c r="N167" s="192" t="str" cm="1">
        <f t="array" ref="N167">Common_InputFunctions.Utility_DisplayArrayInTable(Fertiliser_SourceData.Fertiliser_Products_Data3(), FertiliserProducts[[#Headers],[Company]],61)</f>
        <v/>
      </c>
      <c r="O167" s="192" t="str" cm="1">
        <f t="array" ref="O167">Common_InputFunctions.Utility_DisplayArrayInTable(Fertiliser_SourceData.Fertiliser_Products_Data3(), FertiliserProducts[[#Headers],[Company]],61)</f>
        <v>Monoammonium phosphate (MAP)</v>
      </c>
      <c r="P167" s="192" cm="1">
        <f t="array" ref="P167">Common_InputFunctions.Utility_DisplayArrayInTable(Fertiliser_SourceData.Fertiliser_Products_Data3(), FertiliserProducts[[#Headers],[Company]],61)</f>
        <v>1</v>
      </c>
      <c r="Q167" s="192" t="str" cm="1">
        <f t="array" ref="Q167">Common_InputFunctions.Utility_DisplayArrayInTable(Fertiliser_SourceData.Fertiliser_Products_Data3(), FertiliserProducts[[#Headers],[Company]],61)</f>
        <v/>
      </c>
      <c r="R167" s="192" t="str" cm="1">
        <f t="array" ref="R167">Common_InputFunctions.Utility_DisplayArrayInTable(Fertiliser_SourceData.Fertiliser_Products_Data3(), FertiliserProducts[[#Headers],[Company]],61)</f>
        <v/>
      </c>
      <c r="S167" s="192" t="str" cm="1">
        <f t="array" ref="S167">Common_InputFunctions.Utility_DisplayArrayInTable(Fertiliser_SourceData.Fertiliser_Products_Data3(), FertiliserProducts[[#Headers],[Company]],61)</f>
        <v/>
      </c>
      <c r="T167" s="192" t="str" cm="1">
        <f t="array" ref="T167">Common_InputFunctions.Utility_DisplayArrayInTable(Fertiliser_SourceData.Fertiliser_Products_Data3(), FertiliserProducts[[#Headers],[Company]],61)</f>
        <v/>
      </c>
      <c r="U167" s="192" t="str" cm="1">
        <f t="array" ref="U167">Common_InputFunctions.Utility_DisplayArrayInTable(Fertiliser_SourceData.Fertiliser_Products_Data3(), FertiliserProducts[[#Headers],[Company]],61)</f>
        <v/>
      </c>
      <c r="V167" s="192" t="str" cm="1">
        <f t="array" ref="V167">Common_InputFunctions.Utility_DisplayArrayInTable(Fertiliser_SourceData.Fertiliser_Products_Data3(), FertiliserProducts[[#Headers],[Company]],61)</f>
        <v/>
      </c>
      <c r="W167" s="192" t="str" cm="1">
        <f t="array" ref="W167">Common_InputFunctions.Utility_DisplayArrayInTable(Fertiliser_SourceData.Fertiliser_Products_Data3(), FertiliserProducts[[#Headers],[Company]],61)</f>
        <v/>
      </c>
      <c r="X167" s="192" t="str" cm="1">
        <f t="array" ref="X167">Common_InputFunctions.Utility_DisplayArrayInTable(Fertiliser_SourceData.Fertiliser_Products_Data3(), FertiliserProducts[[#Headers],[Company]],61)</f>
        <v/>
      </c>
      <c r="Y167" s="192" t="str" cm="1">
        <f t="array" ref="Y167">Common_InputFunctions.Utility_DisplayArrayInTable(Fertiliser_SourceData.Fertiliser_Products_Data3(), FertiliserProducts[[#Headers],[Company]],61)</f>
        <v/>
      </c>
      <c r="Z167" s="192" t="str" cm="1">
        <f t="array" ref="Z167">Common_InputFunctions.Utility_DisplayArrayInTable(Fertiliser_SourceData.Fertiliser_Products_Data3(), FertiliserProducts[[#Headers],[Company]],61)</f>
        <v/>
      </c>
      <c r="AA167" s="192" t="str" cm="1">
        <f t="array" ref="AA167">Common_InputFunctions.Utility_DisplayArrayInTable(Fertiliser_SourceData.Fertiliser_Products_Data3(), FertiliserProducts[[#Headers],[Company]],61)</f>
        <v/>
      </c>
      <c r="AB167" s="192" t="str" cm="1">
        <f t="array" ref="AB167">Common_InputFunctions.Utility_DisplayArrayInTable(Fertiliser_SourceData.Fertiliser_Products_Data3(), FertiliserProducts[[#Headers],[Company]],61)</f>
        <v/>
      </c>
      <c r="AC167" s="192" t="str" cm="1">
        <f t="array" ref="AC167">Common_InputFunctions.Utility_DisplayArrayInTable(Fertiliser_SourceData.Fertiliser_Products_Data3(), FertiliserProducts[[#Headers],[Company]],61)</f>
        <v/>
      </c>
      <c r="AD167" s="192" t="str" cm="1">
        <f t="array" ref="AD167">Common_InputFunctions.Utility_DisplayArrayInTable(Fertiliser_SourceData.Fertiliser_Products_Data3(), FertiliserProducts[[#Headers],[Company]],61)</f>
        <v/>
      </c>
      <c r="AE167" s="192" t="str" cm="1">
        <f t="array" ref="AE167">Common_InputFunctions.Utility_DisplayArrayInTable(Fertiliser_SourceData.Fertiliser_Products_Data3(), FertiliserProducts[[#Headers],[Company]],61)</f>
        <v/>
      </c>
      <c r="AF167" s="192" t="str" cm="1">
        <f t="array" ref="AF167">Common_InputFunctions.Utility_DisplayArrayInTable(Fertiliser_SourceData.Fertiliser_Products_Data3(), FertiliserProducts[[#Headers],[Company]],61)</f>
        <v/>
      </c>
      <c r="AG167" s="192" t="str" cm="1">
        <f t="array" ref="AG167">Common_InputFunctions.Utility_DisplayArrayInTable(Fertiliser_SourceData.Fertiliser_Products_Data3(), FertiliserProducts[[#Headers],[Company]],61)</f>
        <v/>
      </c>
      <c r="AH167" s="192" t="str" cm="1">
        <f t="array" ref="AH167">Common_InputFunctions.Utility_DisplayArrayInTable(Fertiliser_SourceData.Fertiliser_Products_Data3(), FertiliserProducts[[#Headers],[Company]],61)</f>
        <v/>
      </c>
      <c r="AK167" s="1"/>
    </row>
    <row r="168" spans="4:37" x14ac:dyDescent="0.25">
      <c r="D168" s="192" t="str" cm="1">
        <f t="array" ref="D168">Common_InputFunctions.Utility_DisplayArrayInTable(Fertiliser_SourceData.Fertiliser_Products_Data3(), FertiliserProducts[[#Headers],[Company]],61)</f>
        <v>Campbells fertilisers Australia</v>
      </c>
      <c r="E168" s="192" t="str" cm="1">
        <f t="array" ref="E168">Common_InputFunctions.Utility_DisplayArrayInTable(Fertiliser_SourceData.Fertiliser_Products_Data3(), FertiliserProducts[[#Headers],[Company]],61)</f>
        <v>Quick-N</v>
      </c>
      <c r="F168" s="192" t="str" cm="1">
        <f t="array" ref="F168">Common_InputFunctions.Utility_DisplayArrayInTable(Fertiliser_SourceData.Fertiliser_Products_Data3(), FertiliserProducts[[#Headers],[Company]],61)</f>
        <v>kg</v>
      </c>
      <c r="G168" s="192" cm="1">
        <f t="array" ref="G168">Common_InputFunctions.Utility_DisplayArrayInTable(Fertiliser_SourceData.Fertiliser_Products_Data3(), FertiliserProducts[[#Headers],[Company]],61)</f>
        <v>1</v>
      </c>
      <c r="H168" s="192" t="str" cm="1">
        <f t="array" ref="H168">Common_InputFunctions.Utility_DisplayArrayInTable(Fertiliser_SourceData.Fertiliser_Products_Data3(), FertiliserProducts[[#Headers],[Company]],61)</f>
        <v/>
      </c>
      <c r="I168" s="192" t="str" cm="1">
        <f t="array" ref="I168">Common_InputFunctions.Utility_DisplayArrayInTable(Fertiliser_SourceData.Fertiliser_Products_Data3(), FertiliserProducts[[#Headers],[Company]],61)</f>
        <v/>
      </c>
      <c r="J168" s="192" t="str" cm="1">
        <f t="array" ref="J168">Common_InputFunctions.Utility_DisplayArrayInTable(Fertiliser_SourceData.Fertiliser_Products_Data3(), FertiliserProducts[[#Headers],[Company]],61)</f>
        <v/>
      </c>
      <c r="K168" s="192" cm="1">
        <f t="array" ref="K168">Common_InputFunctions.Utility_DisplayArrayInTable(Fertiliser_SourceData.Fertiliser_Products_Data3(), FertiliserProducts[[#Headers],[Company]],61)</f>
        <v>26</v>
      </c>
      <c r="L168" s="192" t="str" cm="1">
        <f t="array" ref="L168">Common_InputFunctions.Utility_DisplayArrayInTable(Fertiliser_SourceData.Fertiliser_Products_Data3(), FertiliserProducts[[#Headers],[Company]],61)</f>
        <v/>
      </c>
      <c r="M168" s="192" t="str" cm="1">
        <f t="array" ref="M168">Common_InputFunctions.Utility_DisplayArrayInTable(Fertiliser_SourceData.Fertiliser_Products_Data3(), FertiliserProducts[[#Headers],[Company]],61)</f>
        <v/>
      </c>
      <c r="N168" s="192" cm="1">
        <f t="array" ref="N168">Common_InputFunctions.Utility_DisplayArrayInTable(Fertiliser_SourceData.Fertiliser_Products_Data3(), FertiliserProducts[[#Headers],[Company]],61)</f>
        <v>13</v>
      </c>
      <c r="O168" s="192" t="str" cm="1">
        <f t="array" ref="O168">Common_InputFunctions.Utility_DisplayArrayInTable(Fertiliser_SourceData.Fertiliser_Products_Data3(), FertiliserProducts[[#Headers],[Company]],61)</f>
        <v>Sulphate of ammonia (SOA)</v>
      </c>
      <c r="P168" s="192" cm="1">
        <f t="array" ref="P168">Common_InputFunctions.Utility_DisplayArrayInTable(Fertiliser_SourceData.Fertiliser_Products_Data3(), FertiliserProducts[[#Headers],[Company]],61)</f>
        <v>0.54166700000000001</v>
      </c>
      <c r="Q168" s="192" t="str" cm="1">
        <f t="array" ref="Q168">Common_InputFunctions.Utility_DisplayArrayInTable(Fertiliser_SourceData.Fertiliser_Products_Data3(), FertiliserProducts[[#Headers],[Company]],61)</f>
        <v>Ammonium nitrate (AN)</v>
      </c>
      <c r="R168" s="192" cm="1">
        <f t="array" ref="R168">Common_InputFunctions.Utility_DisplayArrayInTable(Fertiliser_SourceData.Fertiliser_Products_Data3(), FertiliserProducts[[#Headers],[Company]],61)</f>
        <v>0.43397599999999997</v>
      </c>
      <c r="S168" s="192" t="str" cm="1">
        <f t="array" ref="S168">Common_InputFunctions.Utility_DisplayArrayInTable(Fertiliser_SourceData.Fertiliser_Products_Data3(), FertiliserProducts[[#Headers],[Company]],61)</f>
        <v/>
      </c>
      <c r="T168" s="192" t="str" cm="1">
        <f t="array" ref="T168">Common_InputFunctions.Utility_DisplayArrayInTable(Fertiliser_SourceData.Fertiliser_Products_Data3(), FertiliserProducts[[#Headers],[Company]],61)</f>
        <v/>
      </c>
      <c r="U168" s="192" t="str" cm="1">
        <f t="array" ref="U168">Common_InputFunctions.Utility_DisplayArrayInTable(Fertiliser_SourceData.Fertiliser_Products_Data3(), FertiliserProducts[[#Headers],[Company]],61)</f>
        <v/>
      </c>
      <c r="V168" s="192" t="str" cm="1">
        <f t="array" ref="V168">Common_InputFunctions.Utility_DisplayArrayInTable(Fertiliser_SourceData.Fertiliser_Products_Data3(), FertiliserProducts[[#Headers],[Company]],61)</f>
        <v/>
      </c>
      <c r="W168" s="192" t="str" cm="1">
        <f t="array" ref="W168">Common_InputFunctions.Utility_DisplayArrayInTable(Fertiliser_SourceData.Fertiliser_Products_Data3(), FertiliserProducts[[#Headers],[Company]],61)</f>
        <v/>
      </c>
      <c r="X168" s="192" t="str" cm="1">
        <f t="array" ref="X168">Common_InputFunctions.Utility_DisplayArrayInTable(Fertiliser_SourceData.Fertiliser_Products_Data3(), FertiliserProducts[[#Headers],[Company]],61)</f>
        <v/>
      </c>
      <c r="Y168" s="192" t="str" cm="1">
        <f t="array" ref="Y168">Common_InputFunctions.Utility_DisplayArrayInTable(Fertiliser_SourceData.Fertiliser_Products_Data3(), FertiliserProducts[[#Headers],[Company]],61)</f>
        <v/>
      </c>
      <c r="Z168" s="192" t="str" cm="1">
        <f t="array" ref="Z168">Common_InputFunctions.Utility_DisplayArrayInTable(Fertiliser_SourceData.Fertiliser_Products_Data3(), FertiliserProducts[[#Headers],[Company]],61)</f>
        <v/>
      </c>
      <c r="AA168" s="192" t="str" cm="1">
        <f t="array" ref="AA168">Common_InputFunctions.Utility_DisplayArrayInTable(Fertiliser_SourceData.Fertiliser_Products_Data3(), FertiliserProducts[[#Headers],[Company]],61)</f>
        <v/>
      </c>
      <c r="AB168" s="192" t="str" cm="1">
        <f t="array" ref="AB168">Common_InputFunctions.Utility_DisplayArrayInTable(Fertiliser_SourceData.Fertiliser_Products_Data3(), FertiliserProducts[[#Headers],[Company]],61)</f>
        <v/>
      </c>
      <c r="AC168" s="192" t="str" cm="1">
        <f t="array" ref="AC168">Common_InputFunctions.Utility_DisplayArrayInTable(Fertiliser_SourceData.Fertiliser_Products_Data3(), FertiliserProducts[[#Headers],[Company]],61)</f>
        <v/>
      </c>
      <c r="AD168" s="192" t="str" cm="1">
        <f t="array" ref="AD168">Common_InputFunctions.Utility_DisplayArrayInTable(Fertiliser_SourceData.Fertiliser_Products_Data3(), FertiliserProducts[[#Headers],[Company]],61)</f>
        <v/>
      </c>
      <c r="AE168" s="192" t="str" cm="1">
        <f t="array" ref="AE168">Common_InputFunctions.Utility_DisplayArrayInTable(Fertiliser_SourceData.Fertiliser_Products_Data3(), FertiliserProducts[[#Headers],[Company]],61)</f>
        <v/>
      </c>
      <c r="AF168" s="192" t="str" cm="1">
        <f t="array" ref="AF168">Common_InputFunctions.Utility_DisplayArrayInTable(Fertiliser_SourceData.Fertiliser_Products_Data3(), FertiliserProducts[[#Headers],[Company]],61)</f>
        <v/>
      </c>
      <c r="AG168" s="192" t="str" cm="1">
        <f t="array" ref="AG168">Common_InputFunctions.Utility_DisplayArrayInTable(Fertiliser_SourceData.Fertiliser_Products_Data3(), FertiliserProducts[[#Headers],[Company]],61)</f>
        <v/>
      </c>
      <c r="AH168" s="192" t="str" cm="1">
        <f t="array" ref="AH168">Common_InputFunctions.Utility_DisplayArrayInTable(Fertiliser_SourceData.Fertiliser_Products_Data3(), FertiliserProducts[[#Headers],[Company]],61)</f>
        <v/>
      </c>
      <c r="AK168" s="1"/>
    </row>
    <row r="169" spans="4:37" x14ac:dyDescent="0.25">
      <c r="D169" s="192" t="str" cm="1">
        <f t="array" ref="D169">Common_InputFunctions.Utility_DisplayArrayInTable(Fertiliser_SourceData.Fertiliser_Products_Data3(), FertiliserProducts[[#Headers],[Company]],61)</f>
        <v>SLTEC Fertilizers</v>
      </c>
      <c r="E169" s="192" t="str" cm="1">
        <f t="array" ref="E169">Common_InputFunctions.Utility_DisplayArrayInTable(Fertiliser_SourceData.Fertiliser_Products_Data3(), FertiliserProducts[[#Headers],[Company]],61)</f>
        <v>UAS</v>
      </c>
      <c r="F169" s="192" t="str" cm="1">
        <f t="array" ref="F169">Common_InputFunctions.Utility_DisplayArrayInTable(Fertiliser_SourceData.Fertiliser_Products_Data3(), FertiliserProducts[[#Headers],[Company]],61)</f>
        <v>L</v>
      </c>
      <c r="G169" s="192" cm="1">
        <f t="array" ref="G169">Common_InputFunctions.Utility_DisplayArrayInTable(Fertiliser_SourceData.Fertiliser_Products_Data3(), FertiliserProducts[[#Headers],[Company]],61)</f>
        <v>1.2350000000000001</v>
      </c>
      <c r="H169" s="192" t="str" cm="1">
        <f t="array" ref="H169">Common_InputFunctions.Utility_DisplayArrayInTable(Fertiliser_SourceData.Fertiliser_Products_Data3(), FertiliserProducts[[#Headers],[Company]],61)</f>
        <v/>
      </c>
      <c r="I169" s="192" t="str" cm="1">
        <f t="array" ref="I169">Common_InputFunctions.Utility_DisplayArrayInTable(Fertiliser_SourceData.Fertiliser_Products_Data3(), FertiliserProducts[[#Headers],[Company]],61)</f>
        <v/>
      </c>
      <c r="J169" s="192" t="str" cm="1">
        <f t="array" ref="J169">Common_InputFunctions.Utility_DisplayArrayInTable(Fertiliser_SourceData.Fertiliser_Products_Data3(), FertiliserProducts[[#Headers],[Company]],61)</f>
        <v/>
      </c>
      <c r="K169" s="192" cm="1">
        <f t="array" ref="K169">Common_InputFunctions.Utility_DisplayArrayInTable(Fertiliser_SourceData.Fertiliser_Products_Data3(), FertiliserProducts[[#Headers],[Company]],61)</f>
        <v>26.6</v>
      </c>
      <c r="L169" s="192" t="str" cm="1">
        <f t="array" ref="L169">Common_InputFunctions.Utility_DisplayArrayInTable(Fertiliser_SourceData.Fertiliser_Products_Data3(), FertiliserProducts[[#Headers],[Company]],61)</f>
        <v/>
      </c>
      <c r="M169" s="192" t="str" cm="1">
        <f t="array" ref="M169">Common_InputFunctions.Utility_DisplayArrayInTable(Fertiliser_SourceData.Fertiliser_Products_Data3(), FertiliserProducts[[#Headers],[Company]],61)</f>
        <v/>
      </c>
      <c r="N169" s="192" cm="1">
        <f t="array" ref="N169">Common_InputFunctions.Utility_DisplayArrayInTable(Fertiliser_SourceData.Fertiliser_Products_Data3(), FertiliserProducts[[#Headers],[Company]],61)</f>
        <v>6.7</v>
      </c>
      <c r="O169" s="192" t="str" cm="1">
        <f t="array" ref="O169">Common_InputFunctions.Utility_DisplayArrayInTable(Fertiliser_SourceData.Fertiliser_Products_Data3(), FertiliserProducts[[#Headers],[Company]],61)</f>
        <v>Urea</v>
      </c>
      <c r="P169" s="192" cm="1">
        <f t="array" ref="P169">Common_InputFunctions.Utility_DisplayArrayInTable(Fertiliser_SourceData.Fertiliser_Products_Data3(), FertiliserProducts[[#Headers],[Company]],61)</f>
        <v>0.45081500000000002</v>
      </c>
      <c r="Q169" s="192" t="str" cm="1">
        <f t="array" ref="Q169">Common_InputFunctions.Utility_DisplayArrayInTable(Fertiliser_SourceData.Fertiliser_Products_Data3(), FertiliserProducts[[#Headers],[Company]],61)</f>
        <v>Sulphate of ammonia (SOA)</v>
      </c>
      <c r="R169" s="192" cm="1">
        <f t="array" ref="R169">Common_InputFunctions.Utility_DisplayArrayInTable(Fertiliser_SourceData.Fertiliser_Products_Data3(), FertiliserProducts[[#Headers],[Company]],61)</f>
        <v>0.279167</v>
      </c>
      <c r="S169" s="192" t="str" cm="1">
        <f t="array" ref="S169">Common_InputFunctions.Utility_DisplayArrayInTable(Fertiliser_SourceData.Fertiliser_Products_Data3(), FertiliserProducts[[#Headers],[Company]],61)</f>
        <v/>
      </c>
      <c r="T169" s="192" t="str" cm="1">
        <f t="array" ref="T169">Common_InputFunctions.Utility_DisplayArrayInTable(Fertiliser_SourceData.Fertiliser_Products_Data3(), FertiliserProducts[[#Headers],[Company]],61)</f>
        <v/>
      </c>
      <c r="U169" s="192" t="str" cm="1">
        <f t="array" ref="U169">Common_InputFunctions.Utility_DisplayArrayInTable(Fertiliser_SourceData.Fertiliser_Products_Data3(), FertiliserProducts[[#Headers],[Company]],61)</f>
        <v/>
      </c>
      <c r="V169" s="192" t="str" cm="1">
        <f t="array" ref="V169">Common_InputFunctions.Utility_DisplayArrayInTable(Fertiliser_SourceData.Fertiliser_Products_Data3(), FertiliserProducts[[#Headers],[Company]],61)</f>
        <v/>
      </c>
      <c r="W169" s="192" t="str" cm="1">
        <f t="array" ref="W169">Common_InputFunctions.Utility_DisplayArrayInTable(Fertiliser_SourceData.Fertiliser_Products_Data3(), FertiliserProducts[[#Headers],[Company]],61)</f>
        <v/>
      </c>
      <c r="X169" s="192" t="str" cm="1">
        <f t="array" ref="X169">Common_InputFunctions.Utility_DisplayArrayInTable(Fertiliser_SourceData.Fertiliser_Products_Data3(), FertiliserProducts[[#Headers],[Company]],61)</f>
        <v/>
      </c>
      <c r="Y169" s="192" t="str" cm="1">
        <f t="array" ref="Y169">Common_InputFunctions.Utility_DisplayArrayInTable(Fertiliser_SourceData.Fertiliser_Products_Data3(), FertiliserProducts[[#Headers],[Company]],61)</f>
        <v/>
      </c>
      <c r="Z169" s="192" t="str" cm="1">
        <f t="array" ref="Z169">Common_InputFunctions.Utility_DisplayArrayInTable(Fertiliser_SourceData.Fertiliser_Products_Data3(), FertiliserProducts[[#Headers],[Company]],61)</f>
        <v/>
      </c>
      <c r="AA169" s="192" t="str" cm="1">
        <f t="array" ref="AA169">Common_InputFunctions.Utility_DisplayArrayInTable(Fertiliser_SourceData.Fertiliser_Products_Data3(), FertiliserProducts[[#Headers],[Company]],61)</f>
        <v/>
      </c>
      <c r="AB169" s="192" t="str" cm="1">
        <f t="array" ref="AB169">Common_InputFunctions.Utility_DisplayArrayInTable(Fertiliser_SourceData.Fertiliser_Products_Data3(), FertiliserProducts[[#Headers],[Company]],61)</f>
        <v/>
      </c>
      <c r="AC169" s="192" t="str" cm="1">
        <f t="array" ref="AC169">Common_InputFunctions.Utility_DisplayArrayInTable(Fertiliser_SourceData.Fertiliser_Products_Data3(), FertiliserProducts[[#Headers],[Company]],61)</f>
        <v/>
      </c>
      <c r="AD169" s="192" t="str" cm="1">
        <f t="array" ref="AD169">Common_InputFunctions.Utility_DisplayArrayInTable(Fertiliser_SourceData.Fertiliser_Products_Data3(), FertiliserProducts[[#Headers],[Company]],61)</f>
        <v/>
      </c>
      <c r="AE169" s="192" t="str" cm="1">
        <f t="array" ref="AE169">Common_InputFunctions.Utility_DisplayArrayInTable(Fertiliser_SourceData.Fertiliser_Products_Data3(), FertiliserProducts[[#Headers],[Company]],61)</f>
        <v/>
      </c>
      <c r="AF169" s="192" t="str" cm="1">
        <f t="array" ref="AF169">Common_InputFunctions.Utility_DisplayArrayInTable(Fertiliser_SourceData.Fertiliser_Products_Data3(), FertiliserProducts[[#Headers],[Company]],61)</f>
        <v/>
      </c>
      <c r="AG169" s="192" t="str" cm="1">
        <f t="array" ref="AG169">Common_InputFunctions.Utility_DisplayArrayInTable(Fertiliser_SourceData.Fertiliser_Products_Data3(), FertiliserProducts[[#Headers],[Company]],61)</f>
        <v/>
      </c>
      <c r="AH169" s="192" t="str" cm="1">
        <f t="array" ref="AH169">Common_InputFunctions.Utility_DisplayArrayInTable(Fertiliser_SourceData.Fertiliser_Products_Data3(), FertiliserProducts[[#Headers],[Company]],61)</f>
        <v/>
      </c>
      <c r="AK169" s="1"/>
    </row>
    <row r="170" spans="4:37" x14ac:dyDescent="0.25">
      <c r="D170" s="192" t="str" cm="1">
        <f t="array" ref="D170">Common_InputFunctions.Utility_DisplayArrayInTable(Fertiliser_SourceData.Fertiliser_Products_Data3(), FertiliserProducts[[#Headers],[Company]],61)</f>
        <v>SLTEC Fertilizers</v>
      </c>
      <c r="E170" s="192" t="str" cm="1">
        <f t="array" ref="E170">Common_InputFunctions.Utility_DisplayArrayInTable(Fertiliser_SourceData.Fertiliser_Products_Data3(), FertiliserProducts[[#Headers],[Company]],61)</f>
        <v>Triazone Urea</v>
      </c>
      <c r="F170" s="192" t="str" cm="1">
        <f t="array" ref="F170">Common_InputFunctions.Utility_DisplayArrayInTable(Fertiliser_SourceData.Fertiliser_Products_Data3(), FertiliserProducts[[#Headers],[Company]],61)</f>
        <v>L</v>
      </c>
      <c r="G170" s="192" cm="1">
        <f t="array" ref="G170">Common_InputFunctions.Utility_DisplayArrayInTable(Fertiliser_SourceData.Fertiliser_Products_Data3(), FertiliserProducts[[#Headers],[Company]],61)</f>
        <v>1.28</v>
      </c>
      <c r="H170" s="192" t="str" cm="1">
        <f t="array" ref="H170">Common_InputFunctions.Utility_DisplayArrayInTable(Fertiliser_SourceData.Fertiliser_Products_Data3(), FertiliserProducts[[#Headers],[Company]],61)</f>
        <v/>
      </c>
      <c r="I170" s="192" t="str" cm="1">
        <f t="array" ref="I170">Common_InputFunctions.Utility_DisplayArrayInTable(Fertiliser_SourceData.Fertiliser_Products_Data3(), FertiliserProducts[[#Headers],[Company]],61)</f>
        <v/>
      </c>
      <c r="J170" s="192" t="str" cm="1">
        <f t="array" ref="J170">Common_InputFunctions.Utility_DisplayArrayInTable(Fertiliser_SourceData.Fertiliser_Products_Data3(), FertiliserProducts[[#Headers],[Company]],61)</f>
        <v/>
      </c>
      <c r="K170" s="192" cm="1">
        <f t="array" ref="K170">Common_InputFunctions.Utility_DisplayArrayInTable(Fertiliser_SourceData.Fertiliser_Products_Data3(), FertiliserProducts[[#Headers],[Company]],61)</f>
        <v>0</v>
      </c>
      <c r="L170" s="192" t="str" cm="1">
        <f t="array" ref="L170">Common_InputFunctions.Utility_DisplayArrayInTable(Fertiliser_SourceData.Fertiliser_Products_Data3(), FertiliserProducts[[#Headers],[Company]],61)</f>
        <v/>
      </c>
      <c r="M170" s="192" t="str" cm="1">
        <f t="array" ref="M170">Common_InputFunctions.Utility_DisplayArrayInTable(Fertiliser_SourceData.Fertiliser_Products_Data3(), FertiliserProducts[[#Headers],[Company]],61)</f>
        <v/>
      </c>
      <c r="N170" s="192" t="str" cm="1">
        <f t="array" ref="N170">Common_InputFunctions.Utility_DisplayArrayInTable(Fertiliser_SourceData.Fertiliser_Products_Data3(), FertiliserProducts[[#Headers],[Company]],61)</f>
        <v/>
      </c>
      <c r="O170" s="192" t="str" cm="1">
        <f t="array" ref="O170">Common_InputFunctions.Utility_DisplayArrayInTable(Fertiliser_SourceData.Fertiliser_Products_Data3(), FertiliserProducts[[#Headers],[Company]],61)</f>
        <v>Urea</v>
      </c>
      <c r="P170" s="192" cm="1">
        <f t="array" ref="P170">Common_InputFunctions.Utility_DisplayArrayInTable(Fertiliser_SourceData.Fertiliser_Products_Data3(), FertiliserProducts[[#Headers],[Company]],61)</f>
        <v>0.65217400000000003</v>
      </c>
      <c r="Q170" s="192" t="str" cm="1">
        <f t="array" ref="Q170">Common_InputFunctions.Utility_DisplayArrayInTable(Fertiliser_SourceData.Fertiliser_Products_Data3(), FertiliserProducts[[#Headers],[Company]],61)</f>
        <v/>
      </c>
      <c r="R170" s="192" t="str" cm="1">
        <f t="array" ref="R170">Common_InputFunctions.Utility_DisplayArrayInTable(Fertiliser_SourceData.Fertiliser_Products_Data3(), FertiliserProducts[[#Headers],[Company]],61)</f>
        <v/>
      </c>
      <c r="S170" s="192" t="str" cm="1">
        <f t="array" ref="S170">Common_InputFunctions.Utility_DisplayArrayInTable(Fertiliser_SourceData.Fertiliser_Products_Data3(), FertiliserProducts[[#Headers],[Company]],61)</f>
        <v/>
      </c>
      <c r="T170" s="192" t="str" cm="1">
        <f t="array" ref="T170">Common_InputFunctions.Utility_DisplayArrayInTable(Fertiliser_SourceData.Fertiliser_Products_Data3(), FertiliserProducts[[#Headers],[Company]],61)</f>
        <v/>
      </c>
      <c r="U170" s="192" t="str" cm="1">
        <f t="array" ref="U170">Common_InputFunctions.Utility_DisplayArrayInTable(Fertiliser_SourceData.Fertiliser_Products_Data3(), FertiliserProducts[[#Headers],[Company]],61)</f>
        <v/>
      </c>
      <c r="V170" s="192" t="str" cm="1">
        <f t="array" ref="V170">Common_InputFunctions.Utility_DisplayArrayInTable(Fertiliser_SourceData.Fertiliser_Products_Data3(), FertiliserProducts[[#Headers],[Company]],61)</f>
        <v/>
      </c>
      <c r="W170" s="192" t="str" cm="1">
        <f t="array" ref="W170">Common_InputFunctions.Utility_DisplayArrayInTable(Fertiliser_SourceData.Fertiliser_Products_Data3(), FertiliserProducts[[#Headers],[Company]],61)</f>
        <v/>
      </c>
      <c r="X170" s="192" t="str" cm="1">
        <f t="array" ref="X170">Common_InputFunctions.Utility_DisplayArrayInTable(Fertiliser_SourceData.Fertiliser_Products_Data3(), FertiliserProducts[[#Headers],[Company]],61)</f>
        <v/>
      </c>
      <c r="Y170" s="192" t="str" cm="1">
        <f t="array" ref="Y170">Common_InputFunctions.Utility_DisplayArrayInTable(Fertiliser_SourceData.Fertiliser_Products_Data3(), FertiliserProducts[[#Headers],[Company]],61)</f>
        <v/>
      </c>
      <c r="Z170" s="192" t="str" cm="1">
        <f t="array" ref="Z170">Common_InputFunctions.Utility_DisplayArrayInTable(Fertiliser_SourceData.Fertiliser_Products_Data3(), FertiliserProducts[[#Headers],[Company]],61)</f>
        <v/>
      </c>
      <c r="AA170" s="192" t="str" cm="1">
        <f t="array" ref="AA170">Common_InputFunctions.Utility_DisplayArrayInTable(Fertiliser_SourceData.Fertiliser_Products_Data3(), FertiliserProducts[[#Headers],[Company]],61)</f>
        <v/>
      </c>
      <c r="AB170" s="192" t="str" cm="1">
        <f t="array" ref="AB170">Common_InputFunctions.Utility_DisplayArrayInTable(Fertiliser_SourceData.Fertiliser_Products_Data3(), FertiliserProducts[[#Headers],[Company]],61)</f>
        <v/>
      </c>
      <c r="AC170" s="192" t="str" cm="1">
        <f t="array" ref="AC170">Common_InputFunctions.Utility_DisplayArrayInTable(Fertiliser_SourceData.Fertiliser_Products_Data3(), FertiliserProducts[[#Headers],[Company]],61)</f>
        <v/>
      </c>
      <c r="AD170" s="192" t="str" cm="1">
        <f t="array" ref="AD170">Common_InputFunctions.Utility_DisplayArrayInTable(Fertiliser_SourceData.Fertiliser_Products_Data3(), FertiliserProducts[[#Headers],[Company]],61)</f>
        <v/>
      </c>
      <c r="AE170" s="192" t="str" cm="1">
        <f t="array" ref="AE170">Common_InputFunctions.Utility_DisplayArrayInTable(Fertiliser_SourceData.Fertiliser_Products_Data3(), FertiliserProducts[[#Headers],[Company]],61)</f>
        <v/>
      </c>
      <c r="AF170" s="192" t="str" cm="1">
        <f t="array" ref="AF170">Common_InputFunctions.Utility_DisplayArrayInTable(Fertiliser_SourceData.Fertiliser_Products_Data3(), FertiliserProducts[[#Headers],[Company]],61)</f>
        <v/>
      </c>
      <c r="AG170" s="192" t="str" cm="1">
        <f t="array" ref="AG170">Common_InputFunctions.Utility_DisplayArrayInTable(Fertiliser_SourceData.Fertiliser_Products_Data3(), FertiliserProducts[[#Headers],[Company]],61)</f>
        <v/>
      </c>
      <c r="AH170" s="192" t="str" cm="1">
        <f t="array" ref="AH170">Common_InputFunctions.Utility_DisplayArrayInTable(Fertiliser_SourceData.Fertiliser_Products_Data3(), FertiliserProducts[[#Headers],[Company]],61)</f>
        <v/>
      </c>
      <c r="AK170" s="1"/>
    </row>
    <row r="171" spans="4:37" x14ac:dyDescent="0.25">
      <c r="D171" s="192" t="str" cm="1">
        <f t="array" ref="D171">Common_InputFunctions.Utility_DisplayArrayInTable(Fertiliser_SourceData.Fertiliser_Products_Data3(), FertiliserProducts[[#Headers],[Company]],61)</f>
        <v>Marnco [listed as SLTEC]</v>
      </c>
      <c r="E171" s="192" t="str" cm="1">
        <f t="array" ref="E171">Common_InputFunctions.Utility_DisplayArrayInTable(Fertiliser_SourceData.Fertiliser_Products_Data3(), FertiliserProducts[[#Headers],[Company]],61)</f>
        <v>Ammo 36N</v>
      </c>
      <c r="F171" s="192" t="str" cm="1">
        <f t="array" ref="F171">Common_InputFunctions.Utility_DisplayArrayInTable(Fertiliser_SourceData.Fertiliser_Products_Data3(), FertiliserProducts[[#Headers],[Company]],61)</f>
        <v>kg</v>
      </c>
      <c r="G171" s="192" cm="1">
        <f t="array" ref="G171">Common_InputFunctions.Utility_DisplayArrayInTable(Fertiliser_SourceData.Fertiliser_Products_Data3(), FertiliserProducts[[#Headers],[Company]],61)</f>
        <v>1</v>
      </c>
      <c r="H171" s="192" t="str" cm="1">
        <f t="array" ref="H171">Common_InputFunctions.Utility_DisplayArrayInTable(Fertiliser_SourceData.Fertiliser_Products_Data3(), FertiliserProducts[[#Headers],[Company]],61)</f>
        <v/>
      </c>
      <c r="I171" s="192" t="str" cm="1">
        <f t="array" ref="I171">Common_InputFunctions.Utility_DisplayArrayInTable(Fertiliser_SourceData.Fertiliser_Products_Data3(), FertiliserProducts[[#Headers],[Company]],61)</f>
        <v/>
      </c>
      <c r="J171" s="192" t="str" cm="1">
        <f t="array" ref="J171">Common_InputFunctions.Utility_DisplayArrayInTable(Fertiliser_SourceData.Fertiliser_Products_Data3(), FertiliserProducts[[#Headers],[Company]],61)</f>
        <v/>
      </c>
      <c r="K171" s="192" cm="1">
        <f t="array" ref="K171">Common_InputFunctions.Utility_DisplayArrayInTable(Fertiliser_SourceData.Fertiliser_Products_Data3(), FertiliserProducts[[#Headers],[Company]],61)</f>
        <v>36</v>
      </c>
      <c r="L171" s="192" t="str" cm="1">
        <f t="array" ref="L171">Common_InputFunctions.Utility_DisplayArrayInTable(Fertiliser_SourceData.Fertiliser_Products_Data3(), FertiliserProducts[[#Headers],[Company]],61)</f>
        <v/>
      </c>
      <c r="M171" s="192" t="str" cm="1">
        <f t="array" ref="M171">Common_InputFunctions.Utility_DisplayArrayInTable(Fertiliser_SourceData.Fertiliser_Products_Data3(), FertiliserProducts[[#Headers],[Company]],61)</f>
        <v/>
      </c>
      <c r="N171" s="192" cm="1">
        <f t="array" ref="N171">Common_InputFunctions.Utility_DisplayArrayInTable(Fertiliser_SourceData.Fertiliser_Products_Data3(), FertiliserProducts[[#Headers],[Company]],61)</f>
        <v>9.6</v>
      </c>
      <c r="O171" s="192" t="str" cm="1">
        <f t="array" ref="O171">Common_InputFunctions.Utility_DisplayArrayInTable(Fertiliser_SourceData.Fertiliser_Products_Data3(), FertiliserProducts[[#Headers],[Company]],61)</f>
        <v>Nitrogen - Generic</v>
      </c>
      <c r="P171" s="192" cm="1">
        <f t="array" ref="P171">Common_InputFunctions.Utility_DisplayArrayInTable(Fertiliser_SourceData.Fertiliser_Products_Data3(), FertiliserProducts[[#Headers],[Company]],61)</f>
        <v>0.36</v>
      </c>
      <c r="Q171" s="192" t="str" cm="1">
        <f t="array" ref="Q171">Common_InputFunctions.Utility_DisplayArrayInTable(Fertiliser_SourceData.Fertiliser_Products_Data3(), FertiliserProducts[[#Headers],[Company]],61)</f>
        <v>Sulfur - Generic</v>
      </c>
      <c r="R171" s="192" cm="1">
        <f t="array" ref="R171">Common_InputFunctions.Utility_DisplayArrayInTable(Fertiliser_SourceData.Fertiliser_Products_Data3(), FertiliserProducts[[#Headers],[Company]],61)</f>
        <v>9.6000000000000002E-2</v>
      </c>
      <c r="S171" s="192" t="str" cm="1">
        <f t="array" ref="S171">Common_InputFunctions.Utility_DisplayArrayInTable(Fertiliser_SourceData.Fertiliser_Products_Data3(), FertiliserProducts[[#Headers],[Company]],61)</f>
        <v/>
      </c>
      <c r="T171" s="192" t="str" cm="1">
        <f t="array" ref="T171">Common_InputFunctions.Utility_DisplayArrayInTable(Fertiliser_SourceData.Fertiliser_Products_Data3(), FertiliserProducts[[#Headers],[Company]],61)</f>
        <v/>
      </c>
      <c r="U171" s="192" t="str" cm="1">
        <f t="array" ref="U171">Common_InputFunctions.Utility_DisplayArrayInTable(Fertiliser_SourceData.Fertiliser_Products_Data3(), FertiliserProducts[[#Headers],[Company]],61)</f>
        <v/>
      </c>
      <c r="V171" s="192" t="str" cm="1">
        <f t="array" ref="V171">Common_InputFunctions.Utility_DisplayArrayInTable(Fertiliser_SourceData.Fertiliser_Products_Data3(), FertiliserProducts[[#Headers],[Company]],61)</f>
        <v/>
      </c>
      <c r="W171" s="192" t="str" cm="1">
        <f t="array" ref="W171">Common_InputFunctions.Utility_DisplayArrayInTable(Fertiliser_SourceData.Fertiliser_Products_Data3(), FertiliserProducts[[#Headers],[Company]],61)</f>
        <v/>
      </c>
      <c r="X171" s="192" t="str" cm="1">
        <f t="array" ref="X171">Common_InputFunctions.Utility_DisplayArrayInTable(Fertiliser_SourceData.Fertiliser_Products_Data3(), FertiliserProducts[[#Headers],[Company]],61)</f>
        <v/>
      </c>
      <c r="Y171" s="192" t="str" cm="1">
        <f t="array" ref="Y171">Common_InputFunctions.Utility_DisplayArrayInTable(Fertiliser_SourceData.Fertiliser_Products_Data3(), FertiliserProducts[[#Headers],[Company]],61)</f>
        <v/>
      </c>
      <c r="Z171" s="192" t="str" cm="1">
        <f t="array" ref="Z171">Common_InputFunctions.Utility_DisplayArrayInTable(Fertiliser_SourceData.Fertiliser_Products_Data3(), FertiliserProducts[[#Headers],[Company]],61)</f>
        <v/>
      </c>
      <c r="AA171" s="192" t="str" cm="1">
        <f t="array" ref="AA171">Common_InputFunctions.Utility_DisplayArrayInTable(Fertiliser_SourceData.Fertiliser_Products_Data3(), FertiliserProducts[[#Headers],[Company]],61)</f>
        <v/>
      </c>
      <c r="AB171" s="192" t="str" cm="1">
        <f t="array" ref="AB171">Common_InputFunctions.Utility_DisplayArrayInTable(Fertiliser_SourceData.Fertiliser_Products_Data3(), FertiliserProducts[[#Headers],[Company]],61)</f>
        <v/>
      </c>
      <c r="AC171" s="192" t="str" cm="1">
        <f t="array" ref="AC171">Common_InputFunctions.Utility_DisplayArrayInTable(Fertiliser_SourceData.Fertiliser_Products_Data3(), FertiliserProducts[[#Headers],[Company]],61)</f>
        <v/>
      </c>
      <c r="AD171" s="192" t="str" cm="1">
        <f t="array" ref="AD171">Common_InputFunctions.Utility_DisplayArrayInTable(Fertiliser_SourceData.Fertiliser_Products_Data3(), FertiliserProducts[[#Headers],[Company]],61)</f>
        <v/>
      </c>
      <c r="AE171" s="192" t="str" cm="1">
        <f t="array" ref="AE171">Common_InputFunctions.Utility_DisplayArrayInTable(Fertiliser_SourceData.Fertiliser_Products_Data3(), FertiliserProducts[[#Headers],[Company]],61)</f>
        <v/>
      </c>
      <c r="AF171" s="192" t="str" cm="1">
        <f t="array" ref="AF171">Common_InputFunctions.Utility_DisplayArrayInTable(Fertiliser_SourceData.Fertiliser_Products_Data3(), FertiliserProducts[[#Headers],[Company]],61)</f>
        <v/>
      </c>
      <c r="AG171" s="192" t="str" cm="1">
        <f t="array" ref="AG171">Common_InputFunctions.Utility_DisplayArrayInTable(Fertiliser_SourceData.Fertiliser_Products_Data3(), FertiliserProducts[[#Headers],[Company]],61)</f>
        <v/>
      </c>
      <c r="AH171" s="192" t="str" cm="1">
        <f t="array" ref="AH171">Common_InputFunctions.Utility_DisplayArrayInTable(Fertiliser_SourceData.Fertiliser_Products_Data3(), FertiliserProducts[[#Headers],[Company]],61)</f>
        <v/>
      </c>
      <c r="AK171" s="1"/>
    </row>
    <row r="172" spans="4:37" x14ac:dyDescent="0.25">
      <c r="D172" s="192" t="str" cm="1">
        <f t="array" ref="D172">Common_InputFunctions.Utility_DisplayArrayInTable(Fertiliser_SourceData.Fertiliser_Products_Data3(), FertiliserProducts[[#Headers],[Company]],61)</f>
        <v>Risso-Chemical</v>
      </c>
      <c r="E172" s="192" t="str" cm="1">
        <f t="array" ref="E172">Common_InputFunctions.Utility_DisplayArrayInTable(Fertiliser_SourceData.Fertiliser_Products_Data3(), FertiliserProducts[[#Headers],[Company]],61)</f>
        <v>Risso Liquid NPK (200-200-200)</v>
      </c>
      <c r="F172" s="192" t="str" cm="1">
        <f t="array" ref="F172">Common_InputFunctions.Utility_DisplayArrayInTable(Fertiliser_SourceData.Fertiliser_Products_Data3(), FertiliserProducts[[#Headers],[Company]],61)</f>
        <v>L</v>
      </c>
      <c r="G172" s="192" cm="1">
        <f t="array" ref="G172">Common_InputFunctions.Utility_DisplayArrayInTable(Fertiliser_SourceData.Fertiliser_Products_Data3(), FertiliserProducts[[#Headers],[Company]],61)</f>
        <v>1.3</v>
      </c>
      <c r="H172" s="192" t="str" cm="1">
        <f t="array" ref="H172">Common_InputFunctions.Utility_DisplayArrayInTable(Fertiliser_SourceData.Fertiliser_Products_Data3(), FertiliserProducts[[#Headers],[Company]],61)</f>
        <v/>
      </c>
      <c r="I172" s="192" t="str" cm="1">
        <f t="array" ref="I172">Common_InputFunctions.Utility_DisplayArrayInTable(Fertiliser_SourceData.Fertiliser_Products_Data3(), FertiliserProducts[[#Headers],[Company]],61)</f>
        <v/>
      </c>
      <c r="J172" s="192" t="str" cm="1">
        <f t="array" ref="J172">Common_InputFunctions.Utility_DisplayArrayInTable(Fertiliser_SourceData.Fertiliser_Products_Data3(), FertiliserProducts[[#Headers],[Company]],61)</f>
        <v/>
      </c>
      <c r="K172" s="192" cm="1">
        <f t="array" ref="K172">Common_InputFunctions.Utility_DisplayArrayInTable(Fertiliser_SourceData.Fertiliser_Products_Data3(), FertiliserProducts[[#Headers],[Company]],61)</f>
        <v>20</v>
      </c>
      <c r="L172" s="192" cm="1">
        <f t="array" ref="L172">Common_InputFunctions.Utility_DisplayArrayInTable(Fertiliser_SourceData.Fertiliser_Products_Data3(), FertiliserProducts[[#Headers],[Company]],61)</f>
        <v>8.73</v>
      </c>
      <c r="M172" s="192" cm="1">
        <f t="array" ref="M172">Common_InputFunctions.Utility_DisplayArrayInTable(Fertiliser_SourceData.Fertiliser_Products_Data3(), FertiliserProducts[[#Headers],[Company]],61)</f>
        <v>16.600000000000001</v>
      </c>
      <c r="N172" s="192" t="str" cm="1">
        <f t="array" ref="N172">Common_InputFunctions.Utility_DisplayArrayInTable(Fertiliser_SourceData.Fertiliser_Products_Data3(), FertiliserProducts[[#Headers],[Company]],61)</f>
        <v/>
      </c>
      <c r="O172" s="192" t="str" cm="1">
        <f t="array" ref="O172">Common_InputFunctions.Utility_DisplayArrayInTable(Fertiliser_SourceData.Fertiliser_Products_Data3(), FertiliserProducts[[#Headers],[Company]],61)</f>
        <v>Nitrogen - Generic</v>
      </c>
      <c r="P172" s="192" cm="1">
        <f t="array" ref="P172">Common_InputFunctions.Utility_DisplayArrayInTable(Fertiliser_SourceData.Fertiliser_Products_Data3(), FertiliserProducts[[#Headers],[Company]],61)</f>
        <v>0.2</v>
      </c>
      <c r="Q172" s="192" t="str" cm="1">
        <f t="array" ref="Q172">Common_InputFunctions.Utility_DisplayArrayInTable(Fertiliser_SourceData.Fertiliser_Products_Data3(), FertiliserProducts[[#Headers],[Company]],61)</f>
        <v>Phosphorus - Generic</v>
      </c>
      <c r="R172" s="192" cm="1">
        <f t="array" ref="R172">Common_InputFunctions.Utility_DisplayArrayInTable(Fertiliser_SourceData.Fertiliser_Products_Data3(), FertiliserProducts[[#Headers],[Company]],61)</f>
        <v>8.7279999999999996E-2</v>
      </c>
      <c r="S172" s="192" t="str" cm="1">
        <f t="array" ref="S172">Common_InputFunctions.Utility_DisplayArrayInTable(Fertiliser_SourceData.Fertiliser_Products_Data3(), FertiliserProducts[[#Headers],[Company]],61)</f>
        <v>Potassium - Generic</v>
      </c>
      <c r="T172" s="192" cm="1">
        <f t="array" ref="T172">Common_InputFunctions.Utility_DisplayArrayInTable(Fertiliser_SourceData.Fertiliser_Products_Data3(), FertiliserProducts[[#Headers],[Company]],61)</f>
        <v>0.16602</v>
      </c>
      <c r="U172" s="192" t="str" cm="1">
        <f t="array" ref="U172">Common_InputFunctions.Utility_DisplayArrayInTable(Fertiliser_SourceData.Fertiliser_Products_Data3(), FertiliserProducts[[#Headers],[Company]],61)</f>
        <v/>
      </c>
      <c r="V172" s="192" t="str" cm="1">
        <f t="array" ref="V172">Common_InputFunctions.Utility_DisplayArrayInTable(Fertiliser_SourceData.Fertiliser_Products_Data3(), FertiliserProducts[[#Headers],[Company]],61)</f>
        <v/>
      </c>
      <c r="W172" s="192" t="str" cm="1">
        <f t="array" ref="W172">Common_InputFunctions.Utility_DisplayArrayInTable(Fertiliser_SourceData.Fertiliser_Products_Data3(), FertiliserProducts[[#Headers],[Company]],61)</f>
        <v/>
      </c>
      <c r="X172" s="192" t="str" cm="1">
        <f t="array" ref="X172">Common_InputFunctions.Utility_DisplayArrayInTable(Fertiliser_SourceData.Fertiliser_Products_Data3(), FertiliserProducts[[#Headers],[Company]],61)</f>
        <v/>
      </c>
      <c r="Y172" s="192" t="str" cm="1">
        <f t="array" ref="Y172">Common_InputFunctions.Utility_DisplayArrayInTable(Fertiliser_SourceData.Fertiliser_Products_Data3(), FertiliserProducts[[#Headers],[Company]],61)</f>
        <v/>
      </c>
      <c r="Z172" s="192" t="str" cm="1">
        <f t="array" ref="Z172">Common_InputFunctions.Utility_DisplayArrayInTable(Fertiliser_SourceData.Fertiliser_Products_Data3(), FertiliserProducts[[#Headers],[Company]],61)</f>
        <v/>
      </c>
      <c r="AA172" s="192" t="str" cm="1">
        <f t="array" ref="AA172">Common_InputFunctions.Utility_DisplayArrayInTable(Fertiliser_SourceData.Fertiliser_Products_Data3(), FertiliserProducts[[#Headers],[Company]],61)</f>
        <v/>
      </c>
      <c r="AB172" s="192" t="str" cm="1">
        <f t="array" ref="AB172">Common_InputFunctions.Utility_DisplayArrayInTable(Fertiliser_SourceData.Fertiliser_Products_Data3(), FertiliserProducts[[#Headers],[Company]],61)</f>
        <v/>
      </c>
      <c r="AC172" s="192" t="str" cm="1">
        <f t="array" ref="AC172">Common_InputFunctions.Utility_DisplayArrayInTable(Fertiliser_SourceData.Fertiliser_Products_Data3(), FertiliserProducts[[#Headers],[Company]],61)</f>
        <v/>
      </c>
      <c r="AD172" s="192" t="str" cm="1">
        <f t="array" ref="AD172">Common_InputFunctions.Utility_DisplayArrayInTable(Fertiliser_SourceData.Fertiliser_Products_Data3(), FertiliserProducts[[#Headers],[Company]],61)</f>
        <v/>
      </c>
      <c r="AE172" s="192" t="str" cm="1">
        <f t="array" ref="AE172">Common_InputFunctions.Utility_DisplayArrayInTable(Fertiliser_SourceData.Fertiliser_Products_Data3(), FertiliserProducts[[#Headers],[Company]],61)</f>
        <v/>
      </c>
      <c r="AF172" s="192" t="str" cm="1">
        <f t="array" ref="AF172">Common_InputFunctions.Utility_DisplayArrayInTable(Fertiliser_SourceData.Fertiliser_Products_Data3(), FertiliserProducts[[#Headers],[Company]],61)</f>
        <v/>
      </c>
      <c r="AG172" s="192" t="str" cm="1">
        <f t="array" ref="AG172">Common_InputFunctions.Utility_DisplayArrayInTable(Fertiliser_SourceData.Fertiliser_Products_Data3(), FertiliserProducts[[#Headers],[Company]],61)</f>
        <v/>
      </c>
      <c r="AH172" s="192" t="str" cm="1">
        <f t="array" ref="AH172">Common_InputFunctions.Utility_DisplayArrayInTable(Fertiliser_SourceData.Fertiliser_Products_Data3(), FertiliserProducts[[#Headers],[Company]],61)</f>
        <v/>
      </c>
      <c r="AK172" s="1"/>
    </row>
    <row r="173" spans="4:37" x14ac:dyDescent="0.25">
      <c r="D173" s="192" t="str" cm="1">
        <f t="array" ref="D173">Common_InputFunctions.Utility_DisplayArrayInTable(Fertiliser_SourceData.Fertiliser_Products_Data3(), FertiliserProducts[[#Headers],[Company]],61)</f>
        <v>Turf Group Australia (Simplot)</v>
      </c>
      <c r="E173" s="192" t="str" cm="1">
        <f t="array" ref="E173">Common_InputFunctions.Utility_DisplayArrayInTable(Fertiliser_SourceData.Fertiliser_Products_Data3(), FertiliserProducts[[#Headers],[Company]],61)</f>
        <v>Super Cal 15-0-12</v>
      </c>
      <c r="F173" s="192" t="str" cm="1">
        <f t="array" ref="F173">Common_InputFunctions.Utility_DisplayArrayInTable(Fertiliser_SourceData.Fertiliser_Products_Data3(), FertiliserProducts[[#Headers],[Company]],61)</f>
        <v>kg</v>
      </c>
      <c r="G173" s="192" cm="1">
        <f t="array" ref="G173">Common_InputFunctions.Utility_DisplayArrayInTable(Fertiliser_SourceData.Fertiliser_Products_Data3(), FertiliserProducts[[#Headers],[Company]],61)</f>
        <v>1</v>
      </c>
      <c r="H173" s="192" t="str" cm="1">
        <f t="array" ref="H173">Common_InputFunctions.Utility_DisplayArrayInTable(Fertiliser_SourceData.Fertiliser_Products_Data3(), FertiliserProducts[[#Headers],[Company]],61)</f>
        <v/>
      </c>
      <c r="I173" s="192" t="str" cm="1">
        <f t="array" ref="I173">Common_InputFunctions.Utility_DisplayArrayInTable(Fertiliser_SourceData.Fertiliser_Products_Data3(), FertiliserProducts[[#Headers],[Company]],61)</f>
        <v/>
      </c>
      <c r="J173" s="192" t="str" cm="1">
        <f t="array" ref="J173">Common_InputFunctions.Utility_DisplayArrayInTable(Fertiliser_SourceData.Fertiliser_Products_Data3(), FertiliserProducts[[#Headers],[Company]],61)</f>
        <v/>
      </c>
      <c r="K173" s="192" cm="1">
        <f t="array" ref="K173">Common_InputFunctions.Utility_DisplayArrayInTable(Fertiliser_SourceData.Fertiliser_Products_Data3(), FertiliserProducts[[#Headers],[Company]],61)</f>
        <v>15</v>
      </c>
      <c r="L173" s="192" t="str" cm="1">
        <f t="array" ref="L173">Common_InputFunctions.Utility_DisplayArrayInTable(Fertiliser_SourceData.Fertiliser_Products_Data3(), FertiliserProducts[[#Headers],[Company]],61)</f>
        <v/>
      </c>
      <c r="M173" s="192" cm="1">
        <f t="array" ref="M173">Common_InputFunctions.Utility_DisplayArrayInTable(Fertiliser_SourceData.Fertiliser_Products_Data3(), FertiliserProducts[[#Headers],[Company]],61)</f>
        <v>9.9600000000000009</v>
      </c>
      <c r="N173" s="192" t="str" cm="1">
        <f t="array" ref="N173">Common_InputFunctions.Utility_DisplayArrayInTable(Fertiliser_SourceData.Fertiliser_Products_Data3(), FertiliserProducts[[#Headers],[Company]],61)</f>
        <v/>
      </c>
      <c r="O173" s="192" t="str" cm="1">
        <f t="array" ref="O173">Common_InputFunctions.Utility_DisplayArrayInTable(Fertiliser_SourceData.Fertiliser_Products_Data3(), FertiliserProducts[[#Headers],[Company]],61)</f>
        <v>Nitrogen - Nitrate</v>
      </c>
      <c r="P173" s="192" cm="1">
        <f t="array" ref="P173">Common_InputFunctions.Utility_DisplayArrayInTable(Fertiliser_SourceData.Fertiliser_Products_Data3(), FertiliserProducts[[#Headers],[Company]],61)</f>
        <v>8.4737000000000007E-2</v>
      </c>
      <c r="Q173" s="192" t="str" cm="1">
        <f t="array" ref="Q173">Common_InputFunctions.Utility_DisplayArrayInTable(Fertiliser_SourceData.Fertiliser_Products_Data3(), FertiliserProducts[[#Headers],[Company]],61)</f>
        <v>Potassium - Generic</v>
      </c>
      <c r="R173" s="192" cm="1">
        <f t="array" ref="R173">Common_InputFunctions.Utility_DisplayArrayInTable(Fertiliser_SourceData.Fertiliser_Products_Data3(), FertiliserProducts[[#Headers],[Company]],61)</f>
        <v>9.9612000000000006E-2</v>
      </c>
      <c r="S173" s="192" t="str" cm="1">
        <f t="array" ref="S173">Common_InputFunctions.Utility_DisplayArrayInTable(Fertiliser_SourceData.Fertiliser_Products_Data3(), FertiliserProducts[[#Headers],[Company]],61)</f>
        <v>Calcium nitrate</v>
      </c>
      <c r="T173" s="192" cm="1">
        <f t="array" ref="T173">Common_InputFunctions.Utility_DisplayArrayInTable(Fertiliser_SourceData.Fertiliser_Products_Data3(), FertiliserProducts[[#Headers],[Company]],61)</f>
        <v>0.42105300000000001</v>
      </c>
      <c r="U173" s="192" t="str" cm="1">
        <f t="array" ref="U173">Common_InputFunctions.Utility_DisplayArrayInTable(Fertiliser_SourceData.Fertiliser_Products_Data3(), FertiliserProducts[[#Headers],[Company]],61)</f>
        <v>Magnesium</v>
      </c>
      <c r="V173" s="192" cm="1">
        <f t="array" ref="V173">Common_InputFunctions.Utility_DisplayArrayInTable(Fertiliser_SourceData.Fertiliser_Products_Data3(), FertiliserProducts[[#Headers],[Company]],61)</f>
        <v>5.0000000000000001E-3</v>
      </c>
      <c r="W173" s="192" t="str" cm="1">
        <f t="array" ref="W173">Common_InputFunctions.Utility_DisplayArrayInTable(Fertiliser_SourceData.Fertiliser_Products_Data3(), FertiliserProducts[[#Headers],[Company]],61)</f>
        <v>Boron</v>
      </c>
      <c r="X173" s="192" cm="1">
        <f t="array" ref="X173">Common_InputFunctions.Utility_DisplayArrayInTable(Fertiliser_SourceData.Fertiliser_Products_Data3(), FertiliserProducts[[#Headers],[Company]],61)</f>
        <v>2.0000000000000001E-4</v>
      </c>
      <c r="Y173" s="192" t="str" cm="1">
        <f t="array" ref="Y173">Common_InputFunctions.Utility_DisplayArrayInTable(Fertiliser_SourceData.Fertiliser_Products_Data3(), FertiliserProducts[[#Headers],[Company]],61)</f>
        <v/>
      </c>
      <c r="Z173" s="192" t="str" cm="1">
        <f t="array" ref="Z173">Common_InputFunctions.Utility_DisplayArrayInTable(Fertiliser_SourceData.Fertiliser_Products_Data3(), FertiliserProducts[[#Headers],[Company]],61)</f>
        <v/>
      </c>
      <c r="AA173" s="192" t="str" cm="1">
        <f t="array" ref="AA173">Common_InputFunctions.Utility_DisplayArrayInTable(Fertiliser_SourceData.Fertiliser_Products_Data3(), FertiliserProducts[[#Headers],[Company]],61)</f>
        <v/>
      </c>
      <c r="AB173" s="192" t="str" cm="1">
        <f t="array" ref="AB173">Common_InputFunctions.Utility_DisplayArrayInTable(Fertiliser_SourceData.Fertiliser_Products_Data3(), FertiliserProducts[[#Headers],[Company]],61)</f>
        <v/>
      </c>
      <c r="AC173" s="192" t="str" cm="1">
        <f t="array" ref="AC173">Common_InputFunctions.Utility_DisplayArrayInTable(Fertiliser_SourceData.Fertiliser_Products_Data3(), FertiliserProducts[[#Headers],[Company]],61)</f>
        <v/>
      </c>
      <c r="AD173" s="192" t="str" cm="1">
        <f t="array" ref="AD173">Common_InputFunctions.Utility_DisplayArrayInTable(Fertiliser_SourceData.Fertiliser_Products_Data3(), FertiliserProducts[[#Headers],[Company]],61)</f>
        <v/>
      </c>
      <c r="AE173" s="192" t="str" cm="1">
        <f t="array" ref="AE173">Common_InputFunctions.Utility_DisplayArrayInTable(Fertiliser_SourceData.Fertiliser_Products_Data3(), FertiliserProducts[[#Headers],[Company]],61)</f>
        <v/>
      </c>
      <c r="AF173" s="192" t="str" cm="1">
        <f t="array" ref="AF173">Common_InputFunctions.Utility_DisplayArrayInTable(Fertiliser_SourceData.Fertiliser_Products_Data3(), FertiliserProducts[[#Headers],[Company]],61)</f>
        <v/>
      </c>
      <c r="AG173" s="192" t="str" cm="1">
        <f t="array" ref="AG173">Common_InputFunctions.Utility_DisplayArrayInTable(Fertiliser_SourceData.Fertiliser_Products_Data3(), FertiliserProducts[[#Headers],[Company]],61)</f>
        <v/>
      </c>
      <c r="AH173" s="192" t="str" cm="1">
        <f t="array" ref="AH173">Common_InputFunctions.Utility_DisplayArrayInTable(Fertiliser_SourceData.Fertiliser_Products_Data3(), FertiliserProducts[[#Headers],[Company]],61)</f>
        <v/>
      </c>
      <c r="AK173" s="1"/>
    </row>
    <row r="174" spans="4:37" x14ac:dyDescent="0.25">
      <c r="D174" s="192" t="str" cm="1">
        <f t="array" ref="D174">Common_InputFunctions.Utility_DisplayArrayInTable(Fertiliser_SourceData.Fertiliser_Products_Data3(), FertiliserProducts[[#Headers],[Company]],61)</f>
        <v>Incitec Pivot Fertilisers</v>
      </c>
      <c r="E174" s="192" t="str" cm="1">
        <f t="array" ref="E174">Common_InputFunctions.Utility_DisplayArrayInTable(Fertiliser_SourceData.Fertiliser_Products_Data3(), FertiliserProducts[[#Headers],[Company]],61)</f>
        <v>CK 88</v>
      </c>
      <c r="F174" s="192" t="str" cm="1">
        <f t="array" ref="F174">Common_InputFunctions.Utility_DisplayArrayInTable(Fertiliser_SourceData.Fertiliser_Products_Data3(), FertiliserProducts[[#Headers],[Company]],61)</f>
        <v>kg</v>
      </c>
      <c r="G174" s="192" cm="1">
        <f t="array" ref="G174">Common_InputFunctions.Utility_DisplayArrayInTable(Fertiliser_SourceData.Fertiliser_Products_Data3(), FertiliserProducts[[#Headers],[Company]],61)</f>
        <v>1</v>
      </c>
      <c r="H174" s="192" t="str" cm="1">
        <f t="array" ref="H174">Common_InputFunctions.Utility_DisplayArrayInTable(Fertiliser_SourceData.Fertiliser_Products_Data3(), FertiliserProducts[[#Headers],[Company]],61)</f>
        <v/>
      </c>
      <c r="I174" s="192" t="str" cm="1">
        <f t="array" ref="I174">Common_InputFunctions.Utility_DisplayArrayInTable(Fertiliser_SourceData.Fertiliser_Products_Data3(), FertiliserProducts[[#Headers],[Company]],61)</f>
        <v/>
      </c>
      <c r="J174" s="192" t="str" cm="1">
        <f t="array" ref="J174">Common_InputFunctions.Utility_DisplayArrayInTable(Fertiliser_SourceData.Fertiliser_Products_Data3(), FertiliserProducts[[#Headers],[Company]],61)</f>
        <v/>
      </c>
      <c r="K174" s="192" cm="1">
        <f t="array" ref="K174">Common_InputFunctions.Utility_DisplayArrayInTable(Fertiliser_SourceData.Fertiliser_Products_Data3(), FertiliserProducts[[#Headers],[Company]],61)</f>
        <v>15.1</v>
      </c>
      <c r="L174" s="192" cm="1">
        <f t="array" ref="L174">Common_InputFunctions.Utility_DisplayArrayInTable(Fertiliser_SourceData.Fertiliser_Products_Data3(), FertiliserProducts[[#Headers],[Company]],61)</f>
        <v>4.4000000000000004</v>
      </c>
      <c r="M174" s="192" cm="1">
        <f t="array" ref="M174">Common_InputFunctions.Utility_DisplayArrayInTable(Fertiliser_SourceData.Fertiliser_Products_Data3(), FertiliserProducts[[#Headers],[Company]],61)</f>
        <v>11.5</v>
      </c>
      <c r="N174" s="192" cm="1">
        <f t="array" ref="N174">Common_InputFunctions.Utility_DisplayArrayInTable(Fertiliser_SourceData.Fertiliser_Products_Data3(), FertiliserProducts[[#Headers],[Company]],61)</f>
        <v>13.6</v>
      </c>
      <c r="O174" s="192" t="str" cm="1">
        <f t="array" ref="O174">Common_InputFunctions.Utility_DisplayArrayInTable(Fertiliser_SourceData.Fertiliser_Products_Data3(), FertiliserProducts[[#Headers],[Company]],61)</f>
        <v>Nitrogen - Generic</v>
      </c>
      <c r="P174" s="192" cm="1">
        <f t="array" ref="P174">Common_InputFunctions.Utility_DisplayArrayInTable(Fertiliser_SourceData.Fertiliser_Products_Data3(), FertiliserProducts[[#Headers],[Company]],61)</f>
        <v>0.151</v>
      </c>
      <c r="Q174" s="192" t="str" cm="1">
        <f t="array" ref="Q174">Common_InputFunctions.Utility_DisplayArrayInTable(Fertiliser_SourceData.Fertiliser_Products_Data3(), FertiliserProducts[[#Headers],[Company]],61)</f>
        <v>Phosphorus - Generic</v>
      </c>
      <c r="R174" s="192" cm="1">
        <f t="array" ref="R174">Common_InputFunctions.Utility_DisplayArrayInTable(Fertiliser_SourceData.Fertiliser_Products_Data3(), FertiliserProducts[[#Headers],[Company]],61)</f>
        <v>4.3999999999999997E-2</v>
      </c>
      <c r="S174" s="192" t="str" cm="1">
        <f t="array" ref="S174">Common_InputFunctions.Utility_DisplayArrayInTable(Fertiliser_SourceData.Fertiliser_Products_Data3(), FertiliserProducts[[#Headers],[Company]],61)</f>
        <v>Potassium - Generic</v>
      </c>
      <c r="T174" s="192" cm="1">
        <f t="array" ref="T174">Common_InputFunctions.Utility_DisplayArrayInTable(Fertiliser_SourceData.Fertiliser_Products_Data3(), FertiliserProducts[[#Headers],[Company]],61)</f>
        <v>0.115</v>
      </c>
      <c r="U174" s="192" t="str" cm="1">
        <f t="array" ref="U174">Common_InputFunctions.Utility_DisplayArrayInTable(Fertiliser_SourceData.Fertiliser_Products_Data3(), FertiliserProducts[[#Headers],[Company]],61)</f>
        <v>Sulfur - Generic</v>
      </c>
      <c r="V174" s="192" cm="1">
        <f t="array" ref="V174">Common_InputFunctions.Utility_DisplayArrayInTable(Fertiliser_SourceData.Fertiliser_Products_Data3(), FertiliserProducts[[#Headers],[Company]],61)</f>
        <v>0.13600000000000001</v>
      </c>
      <c r="W174" s="192" t="str" cm="1">
        <f t="array" ref="W174">Common_InputFunctions.Utility_DisplayArrayInTable(Fertiliser_SourceData.Fertiliser_Products_Data3(), FertiliserProducts[[#Headers],[Company]],61)</f>
        <v/>
      </c>
      <c r="X174" s="192" t="str" cm="1">
        <f t="array" ref="X174">Common_InputFunctions.Utility_DisplayArrayInTable(Fertiliser_SourceData.Fertiliser_Products_Data3(), FertiliserProducts[[#Headers],[Company]],61)</f>
        <v/>
      </c>
      <c r="Y174" s="192" t="str" cm="1">
        <f t="array" ref="Y174">Common_InputFunctions.Utility_DisplayArrayInTable(Fertiliser_SourceData.Fertiliser_Products_Data3(), FertiliserProducts[[#Headers],[Company]],61)</f>
        <v/>
      </c>
      <c r="Z174" s="192" t="str" cm="1">
        <f t="array" ref="Z174">Common_InputFunctions.Utility_DisplayArrayInTable(Fertiliser_SourceData.Fertiliser_Products_Data3(), FertiliserProducts[[#Headers],[Company]],61)</f>
        <v/>
      </c>
      <c r="AA174" s="192" t="str" cm="1">
        <f t="array" ref="AA174">Common_InputFunctions.Utility_DisplayArrayInTable(Fertiliser_SourceData.Fertiliser_Products_Data3(), FertiliserProducts[[#Headers],[Company]],61)</f>
        <v/>
      </c>
      <c r="AB174" s="192" t="str" cm="1">
        <f t="array" ref="AB174">Common_InputFunctions.Utility_DisplayArrayInTable(Fertiliser_SourceData.Fertiliser_Products_Data3(), FertiliserProducts[[#Headers],[Company]],61)</f>
        <v/>
      </c>
      <c r="AC174" s="192" t="str" cm="1">
        <f t="array" ref="AC174">Common_InputFunctions.Utility_DisplayArrayInTable(Fertiliser_SourceData.Fertiliser_Products_Data3(), FertiliserProducts[[#Headers],[Company]],61)</f>
        <v/>
      </c>
      <c r="AD174" s="192" t="str" cm="1">
        <f t="array" ref="AD174">Common_InputFunctions.Utility_DisplayArrayInTable(Fertiliser_SourceData.Fertiliser_Products_Data3(), FertiliserProducts[[#Headers],[Company]],61)</f>
        <v/>
      </c>
      <c r="AE174" s="192" t="str" cm="1">
        <f t="array" ref="AE174">Common_InputFunctions.Utility_DisplayArrayInTable(Fertiliser_SourceData.Fertiliser_Products_Data3(), FertiliserProducts[[#Headers],[Company]],61)</f>
        <v/>
      </c>
      <c r="AF174" s="192" t="str" cm="1">
        <f t="array" ref="AF174">Common_InputFunctions.Utility_DisplayArrayInTable(Fertiliser_SourceData.Fertiliser_Products_Data3(), FertiliserProducts[[#Headers],[Company]],61)</f>
        <v/>
      </c>
      <c r="AG174" s="192" t="str" cm="1">
        <f t="array" ref="AG174">Common_InputFunctions.Utility_DisplayArrayInTable(Fertiliser_SourceData.Fertiliser_Products_Data3(), FertiliserProducts[[#Headers],[Company]],61)</f>
        <v/>
      </c>
      <c r="AH174" s="192" t="str" cm="1">
        <f t="array" ref="AH174">Common_InputFunctions.Utility_DisplayArrayInTable(Fertiliser_SourceData.Fertiliser_Products_Data3(), FertiliserProducts[[#Headers],[Company]],61)</f>
        <v/>
      </c>
      <c r="AK174" s="1"/>
    </row>
    <row r="175" spans="4:37" x14ac:dyDescent="0.25">
      <c r="D175" s="192" t="str" cm="1">
        <f t="array" ref="D175">Common_InputFunctions.Utility_DisplayArrayInTable(Fertiliser_SourceData.Fertiliser_Products_Data3(), FertiliserProducts[[#Headers],[Company]],61)</f>
        <v>Incitec Pivot Fertilisers</v>
      </c>
      <c r="E175" s="192" t="str" cm="1">
        <f t="array" ref="E175">Common_InputFunctions.Utility_DisplayArrayInTable(Fertiliser_SourceData.Fertiliser_Products_Data3(), FertiliserProducts[[#Headers],[Company]],61)</f>
        <v>CropLift 15</v>
      </c>
      <c r="F175" s="192" t="str" cm="1">
        <f t="array" ref="F175">Common_InputFunctions.Utility_DisplayArrayInTable(Fertiliser_SourceData.Fertiliser_Products_Data3(), FertiliserProducts[[#Headers],[Company]],61)</f>
        <v>kg</v>
      </c>
      <c r="G175" s="192" cm="1">
        <f t="array" ref="G175">Common_InputFunctions.Utility_DisplayArrayInTable(Fertiliser_SourceData.Fertiliser_Products_Data3(), FertiliserProducts[[#Headers],[Company]],61)</f>
        <v>1</v>
      </c>
      <c r="H175" s="192" t="str" cm="1">
        <f t="array" ref="H175">Common_InputFunctions.Utility_DisplayArrayInTable(Fertiliser_SourceData.Fertiliser_Products_Data3(), FertiliserProducts[[#Headers],[Company]],61)</f>
        <v/>
      </c>
      <c r="I175" s="192" t="str" cm="1">
        <f t="array" ref="I175">Common_InputFunctions.Utility_DisplayArrayInTable(Fertiliser_SourceData.Fertiliser_Products_Data3(), FertiliserProducts[[#Headers],[Company]],61)</f>
        <v/>
      </c>
      <c r="J175" s="192" t="str" cm="1">
        <f t="array" ref="J175">Common_InputFunctions.Utility_DisplayArrayInTable(Fertiliser_SourceData.Fertiliser_Products_Data3(), FertiliserProducts[[#Headers],[Company]],61)</f>
        <v/>
      </c>
      <c r="K175" s="192" cm="1">
        <f t="array" ref="K175">Common_InputFunctions.Utility_DisplayArrayInTable(Fertiliser_SourceData.Fertiliser_Products_Data3(), FertiliserProducts[[#Headers],[Company]],61)</f>
        <v>14.6</v>
      </c>
      <c r="L175" s="192" cm="1">
        <f t="array" ref="L175">Common_InputFunctions.Utility_DisplayArrayInTable(Fertiliser_SourceData.Fertiliser_Products_Data3(), FertiliserProducts[[#Headers],[Company]],61)</f>
        <v>12.1</v>
      </c>
      <c r="M175" s="192" t="str" cm="1">
        <f t="array" ref="M175">Common_InputFunctions.Utility_DisplayArrayInTable(Fertiliser_SourceData.Fertiliser_Products_Data3(), FertiliserProducts[[#Headers],[Company]],61)</f>
        <v/>
      </c>
      <c r="N175" s="192" cm="1">
        <f t="array" ref="N175">Common_InputFunctions.Utility_DisplayArrayInTable(Fertiliser_SourceData.Fertiliser_Products_Data3(), FertiliserProducts[[#Headers],[Company]],61)</f>
        <v>11.6</v>
      </c>
      <c r="O175" s="192" t="str" cm="1">
        <f t="array" ref="O175">Common_InputFunctions.Utility_DisplayArrayInTable(Fertiliser_SourceData.Fertiliser_Products_Data3(), FertiliserProducts[[#Headers],[Company]],61)</f>
        <v>Nitrogen - Generic</v>
      </c>
      <c r="P175" s="192" cm="1">
        <f t="array" ref="P175">Common_InputFunctions.Utility_DisplayArrayInTable(Fertiliser_SourceData.Fertiliser_Products_Data3(), FertiliserProducts[[#Headers],[Company]],61)</f>
        <v>0.14599999999999999</v>
      </c>
      <c r="Q175" s="192" t="str" cm="1">
        <f t="array" ref="Q175">Common_InputFunctions.Utility_DisplayArrayInTable(Fertiliser_SourceData.Fertiliser_Products_Data3(), FertiliserProducts[[#Headers],[Company]],61)</f>
        <v>Phosphorus - Generic</v>
      </c>
      <c r="R175" s="192" cm="1">
        <f t="array" ref="R175">Common_InputFunctions.Utility_DisplayArrayInTable(Fertiliser_SourceData.Fertiliser_Products_Data3(), FertiliserProducts[[#Headers],[Company]],61)</f>
        <v>0.121</v>
      </c>
      <c r="S175" s="192" t="str" cm="1">
        <f t="array" ref="S175">Common_InputFunctions.Utility_DisplayArrayInTable(Fertiliser_SourceData.Fertiliser_Products_Data3(), FertiliserProducts[[#Headers],[Company]],61)</f>
        <v>Sulfur - Generic</v>
      </c>
      <c r="T175" s="192" cm="1">
        <f t="array" ref="T175">Common_InputFunctions.Utility_DisplayArrayInTable(Fertiliser_SourceData.Fertiliser_Products_Data3(), FertiliserProducts[[#Headers],[Company]],61)</f>
        <v>0.11600000000000001</v>
      </c>
      <c r="U175" s="192" t="str" cm="1">
        <f t="array" ref="U175">Common_InputFunctions.Utility_DisplayArrayInTable(Fertiliser_SourceData.Fertiliser_Products_Data3(), FertiliserProducts[[#Headers],[Company]],61)</f>
        <v/>
      </c>
      <c r="V175" s="192" t="str" cm="1">
        <f t="array" ref="V175">Common_InputFunctions.Utility_DisplayArrayInTable(Fertiliser_SourceData.Fertiliser_Products_Data3(), FertiliserProducts[[#Headers],[Company]],61)</f>
        <v/>
      </c>
      <c r="W175" s="192" t="str" cm="1">
        <f t="array" ref="W175">Common_InputFunctions.Utility_DisplayArrayInTable(Fertiliser_SourceData.Fertiliser_Products_Data3(), FertiliserProducts[[#Headers],[Company]],61)</f>
        <v/>
      </c>
      <c r="X175" s="192" t="str" cm="1">
        <f t="array" ref="X175">Common_InputFunctions.Utility_DisplayArrayInTable(Fertiliser_SourceData.Fertiliser_Products_Data3(), FertiliserProducts[[#Headers],[Company]],61)</f>
        <v/>
      </c>
      <c r="Y175" s="192" t="str" cm="1">
        <f t="array" ref="Y175">Common_InputFunctions.Utility_DisplayArrayInTable(Fertiliser_SourceData.Fertiliser_Products_Data3(), FertiliserProducts[[#Headers],[Company]],61)</f>
        <v/>
      </c>
      <c r="Z175" s="192" t="str" cm="1">
        <f t="array" ref="Z175">Common_InputFunctions.Utility_DisplayArrayInTable(Fertiliser_SourceData.Fertiliser_Products_Data3(), FertiliserProducts[[#Headers],[Company]],61)</f>
        <v/>
      </c>
      <c r="AA175" s="192" t="str" cm="1">
        <f t="array" ref="AA175">Common_InputFunctions.Utility_DisplayArrayInTable(Fertiliser_SourceData.Fertiliser_Products_Data3(), FertiliserProducts[[#Headers],[Company]],61)</f>
        <v/>
      </c>
      <c r="AB175" s="192" t="str" cm="1">
        <f t="array" ref="AB175">Common_InputFunctions.Utility_DisplayArrayInTable(Fertiliser_SourceData.Fertiliser_Products_Data3(), FertiliserProducts[[#Headers],[Company]],61)</f>
        <v/>
      </c>
      <c r="AC175" s="192" t="str" cm="1">
        <f t="array" ref="AC175">Common_InputFunctions.Utility_DisplayArrayInTable(Fertiliser_SourceData.Fertiliser_Products_Data3(), FertiliserProducts[[#Headers],[Company]],61)</f>
        <v/>
      </c>
      <c r="AD175" s="192" t="str" cm="1">
        <f t="array" ref="AD175">Common_InputFunctions.Utility_DisplayArrayInTable(Fertiliser_SourceData.Fertiliser_Products_Data3(), FertiliserProducts[[#Headers],[Company]],61)</f>
        <v/>
      </c>
      <c r="AE175" s="192" t="str" cm="1">
        <f t="array" ref="AE175">Common_InputFunctions.Utility_DisplayArrayInTable(Fertiliser_SourceData.Fertiliser_Products_Data3(), FertiliserProducts[[#Headers],[Company]],61)</f>
        <v/>
      </c>
      <c r="AF175" s="192" t="str" cm="1">
        <f t="array" ref="AF175">Common_InputFunctions.Utility_DisplayArrayInTable(Fertiliser_SourceData.Fertiliser_Products_Data3(), FertiliserProducts[[#Headers],[Company]],61)</f>
        <v/>
      </c>
      <c r="AG175" s="192" t="str" cm="1">
        <f t="array" ref="AG175">Common_InputFunctions.Utility_DisplayArrayInTable(Fertiliser_SourceData.Fertiliser_Products_Data3(), FertiliserProducts[[#Headers],[Company]],61)</f>
        <v/>
      </c>
      <c r="AH175" s="192" t="str" cm="1">
        <f t="array" ref="AH175">Common_InputFunctions.Utility_DisplayArrayInTable(Fertiliser_SourceData.Fertiliser_Products_Data3(), FertiliserProducts[[#Headers],[Company]],61)</f>
        <v/>
      </c>
      <c r="AK175" s="1"/>
    </row>
    <row r="176" spans="4:37" x14ac:dyDescent="0.25">
      <c r="D176" s="192" t="str" cm="1">
        <f t="array" ref="D176">Common_InputFunctions.Utility_DisplayArrayInTable(Fertiliser_SourceData.Fertiliser_Products_Data3(), FertiliserProducts[[#Headers],[Company]],61)</f>
        <v>Incitec Pivot Fertilisers</v>
      </c>
      <c r="E176" s="192" t="str" cm="1">
        <f t="array" ref="E176">Common_InputFunctions.Utility_DisplayArrayInTable(Fertiliser_SourceData.Fertiliser_Products_Data3(), FertiliserProducts[[#Headers],[Company]],61)</f>
        <v>NPKS 19-13-0-9</v>
      </c>
      <c r="F176" s="192" t="str" cm="1">
        <f t="array" ref="F176">Common_InputFunctions.Utility_DisplayArrayInTable(Fertiliser_SourceData.Fertiliser_Products_Data3(), FertiliserProducts[[#Headers],[Company]],61)</f>
        <v>kg</v>
      </c>
      <c r="G176" s="192" cm="1">
        <f t="array" ref="G176">Common_InputFunctions.Utility_DisplayArrayInTable(Fertiliser_SourceData.Fertiliser_Products_Data3(), FertiliserProducts[[#Headers],[Company]],61)</f>
        <v>1</v>
      </c>
      <c r="H176" s="192" t="str" cm="1">
        <f t="array" ref="H176">Common_InputFunctions.Utility_DisplayArrayInTable(Fertiliser_SourceData.Fertiliser_Products_Data3(), FertiliserProducts[[#Headers],[Company]],61)</f>
        <v/>
      </c>
      <c r="I176" s="192" t="str" cm="1">
        <f t="array" ref="I176">Common_InputFunctions.Utility_DisplayArrayInTable(Fertiliser_SourceData.Fertiliser_Products_Data3(), FertiliserProducts[[#Headers],[Company]],61)</f>
        <v/>
      </c>
      <c r="J176" s="192" t="str" cm="1">
        <f t="array" ref="J176">Common_InputFunctions.Utility_DisplayArrayInTable(Fertiliser_SourceData.Fertiliser_Products_Data3(), FertiliserProducts[[#Headers],[Company]],61)</f>
        <v/>
      </c>
      <c r="K176" s="192" cm="1">
        <f t="array" ref="K176">Common_InputFunctions.Utility_DisplayArrayInTable(Fertiliser_SourceData.Fertiliser_Products_Data3(), FertiliserProducts[[#Headers],[Company]],61)</f>
        <v>19</v>
      </c>
      <c r="L176" s="192" cm="1">
        <f t="array" ref="L176">Common_InputFunctions.Utility_DisplayArrayInTable(Fertiliser_SourceData.Fertiliser_Products_Data3(), FertiliserProducts[[#Headers],[Company]],61)</f>
        <v>13</v>
      </c>
      <c r="M176" s="192" cm="1">
        <f t="array" ref="M176">Common_InputFunctions.Utility_DisplayArrayInTable(Fertiliser_SourceData.Fertiliser_Products_Data3(), FertiliserProducts[[#Headers],[Company]],61)</f>
        <v>0</v>
      </c>
      <c r="N176" s="192" cm="1">
        <f t="array" ref="N176">Common_InputFunctions.Utility_DisplayArrayInTable(Fertiliser_SourceData.Fertiliser_Products_Data3(), FertiliserProducts[[#Headers],[Company]],61)</f>
        <v>9</v>
      </c>
      <c r="O176" s="192" t="str" cm="1">
        <f t="array" ref="O176">Common_InputFunctions.Utility_DisplayArrayInTable(Fertiliser_SourceData.Fertiliser_Products_Data3(), FertiliserProducts[[#Headers],[Company]],61)</f>
        <v>Nitrogen - Generic</v>
      </c>
      <c r="P176" s="192" cm="1">
        <f t="array" ref="P176">Common_InputFunctions.Utility_DisplayArrayInTable(Fertiliser_SourceData.Fertiliser_Products_Data3(), FertiliserProducts[[#Headers],[Company]],61)</f>
        <v>0.19</v>
      </c>
      <c r="Q176" s="192" t="str" cm="1">
        <f t="array" ref="Q176">Common_InputFunctions.Utility_DisplayArrayInTable(Fertiliser_SourceData.Fertiliser_Products_Data3(), FertiliserProducts[[#Headers],[Company]],61)</f>
        <v>Phosphorus - Generic</v>
      </c>
      <c r="R176" s="192" cm="1">
        <f t="array" ref="R176">Common_InputFunctions.Utility_DisplayArrayInTable(Fertiliser_SourceData.Fertiliser_Products_Data3(), FertiliserProducts[[#Headers],[Company]],61)</f>
        <v>0.13</v>
      </c>
      <c r="S176" s="192" t="str" cm="1">
        <f t="array" ref="S176">Common_InputFunctions.Utility_DisplayArrayInTable(Fertiliser_SourceData.Fertiliser_Products_Data3(), FertiliserProducts[[#Headers],[Company]],61)</f>
        <v>Sulfur - Generic</v>
      </c>
      <c r="T176" s="192" cm="1">
        <f t="array" ref="T176">Common_InputFunctions.Utility_DisplayArrayInTable(Fertiliser_SourceData.Fertiliser_Products_Data3(), FertiliserProducts[[#Headers],[Company]],61)</f>
        <v>0.09</v>
      </c>
      <c r="U176" s="192" t="str" cm="1">
        <f t="array" ref="U176">Common_InputFunctions.Utility_DisplayArrayInTable(Fertiliser_SourceData.Fertiliser_Products_Data3(), FertiliserProducts[[#Headers],[Company]],61)</f>
        <v/>
      </c>
      <c r="V176" s="192" t="str" cm="1">
        <f t="array" ref="V176">Common_InputFunctions.Utility_DisplayArrayInTable(Fertiliser_SourceData.Fertiliser_Products_Data3(), FertiliserProducts[[#Headers],[Company]],61)</f>
        <v/>
      </c>
      <c r="W176" s="192" t="str" cm="1">
        <f t="array" ref="W176">Common_InputFunctions.Utility_DisplayArrayInTable(Fertiliser_SourceData.Fertiliser_Products_Data3(), FertiliserProducts[[#Headers],[Company]],61)</f>
        <v/>
      </c>
      <c r="X176" s="192" t="str" cm="1">
        <f t="array" ref="X176">Common_InputFunctions.Utility_DisplayArrayInTable(Fertiliser_SourceData.Fertiliser_Products_Data3(), FertiliserProducts[[#Headers],[Company]],61)</f>
        <v/>
      </c>
      <c r="Y176" s="192" t="str" cm="1">
        <f t="array" ref="Y176">Common_InputFunctions.Utility_DisplayArrayInTable(Fertiliser_SourceData.Fertiliser_Products_Data3(), FertiliserProducts[[#Headers],[Company]],61)</f>
        <v/>
      </c>
      <c r="Z176" s="192" t="str" cm="1">
        <f t="array" ref="Z176">Common_InputFunctions.Utility_DisplayArrayInTable(Fertiliser_SourceData.Fertiliser_Products_Data3(), FertiliserProducts[[#Headers],[Company]],61)</f>
        <v/>
      </c>
      <c r="AA176" s="192" t="str" cm="1">
        <f t="array" ref="AA176">Common_InputFunctions.Utility_DisplayArrayInTable(Fertiliser_SourceData.Fertiliser_Products_Data3(), FertiliserProducts[[#Headers],[Company]],61)</f>
        <v/>
      </c>
      <c r="AB176" s="192" t="str" cm="1">
        <f t="array" ref="AB176">Common_InputFunctions.Utility_DisplayArrayInTable(Fertiliser_SourceData.Fertiliser_Products_Data3(), FertiliserProducts[[#Headers],[Company]],61)</f>
        <v/>
      </c>
      <c r="AC176" s="192" t="str" cm="1">
        <f t="array" ref="AC176">Common_InputFunctions.Utility_DisplayArrayInTable(Fertiliser_SourceData.Fertiliser_Products_Data3(), FertiliserProducts[[#Headers],[Company]],61)</f>
        <v/>
      </c>
      <c r="AD176" s="192" t="str" cm="1">
        <f t="array" ref="AD176">Common_InputFunctions.Utility_DisplayArrayInTable(Fertiliser_SourceData.Fertiliser_Products_Data3(), FertiliserProducts[[#Headers],[Company]],61)</f>
        <v/>
      </c>
      <c r="AE176" s="192" t="str" cm="1">
        <f t="array" ref="AE176">Common_InputFunctions.Utility_DisplayArrayInTable(Fertiliser_SourceData.Fertiliser_Products_Data3(), FertiliserProducts[[#Headers],[Company]],61)</f>
        <v/>
      </c>
      <c r="AF176" s="192" t="str" cm="1">
        <f t="array" ref="AF176">Common_InputFunctions.Utility_DisplayArrayInTable(Fertiliser_SourceData.Fertiliser_Products_Data3(), FertiliserProducts[[#Headers],[Company]],61)</f>
        <v/>
      </c>
      <c r="AG176" s="192" t="str" cm="1">
        <f t="array" ref="AG176">Common_InputFunctions.Utility_DisplayArrayInTable(Fertiliser_SourceData.Fertiliser_Products_Data3(), FertiliserProducts[[#Headers],[Company]],61)</f>
        <v/>
      </c>
      <c r="AH176" s="192" t="str" cm="1">
        <f t="array" ref="AH176">Common_InputFunctions.Utility_DisplayArrayInTable(Fertiliser_SourceData.Fertiliser_Products_Data3(), FertiliserProducts[[#Headers],[Company]],61)</f>
        <v/>
      </c>
      <c r="AK176" s="1"/>
    </row>
    <row r="177" spans="4:37" x14ac:dyDescent="0.25">
      <c r="D177" s="192" t="str" cm="1">
        <f t="array" ref="D177">Common_InputFunctions.Utility_DisplayArrayInTable(Fertiliser_SourceData.Fertiliser_Products_Data3(), FertiliserProducts[[#Headers],[Company]],61)</f>
        <v>Incitec Pivot Fertilisers</v>
      </c>
      <c r="E177" s="192" t="str" cm="1">
        <f t="array" ref="E177">Common_InputFunctions.Utility_DisplayArrayInTable(Fertiliser_SourceData.Fertiliser_Products_Data3(), FertiliserProducts[[#Headers],[Company]],61)</f>
        <v>PastureBoosta</v>
      </c>
      <c r="F177" s="192" t="str" cm="1">
        <f t="array" ref="F177">Common_InputFunctions.Utility_DisplayArrayInTable(Fertiliser_SourceData.Fertiliser_Products_Data3(), FertiliserProducts[[#Headers],[Company]],61)</f>
        <v>kg</v>
      </c>
      <c r="G177" s="192" cm="1">
        <f t="array" ref="G177">Common_InputFunctions.Utility_DisplayArrayInTable(Fertiliser_SourceData.Fertiliser_Products_Data3(), FertiliserProducts[[#Headers],[Company]],61)</f>
        <v>1</v>
      </c>
      <c r="H177" s="192" t="str" cm="1">
        <f t="array" ref="H177">Common_InputFunctions.Utility_DisplayArrayInTable(Fertiliser_SourceData.Fertiliser_Products_Data3(), FertiliserProducts[[#Headers],[Company]],61)</f>
        <v/>
      </c>
      <c r="I177" s="192" t="str" cm="1">
        <f t="array" ref="I177">Common_InputFunctions.Utility_DisplayArrayInTable(Fertiliser_SourceData.Fertiliser_Products_Data3(), FertiliserProducts[[#Headers],[Company]],61)</f>
        <v/>
      </c>
      <c r="J177" s="192" t="str" cm="1">
        <f t="array" ref="J177">Common_InputFunctions.Utility_DisplayArrayInTable(Fertiliser_SourceData.Fertiliser_Products_Data3(), FertiliserProducts[[#Headers],[Company]],61)</f>
        <v/>
      </c>
      <c r="K177" s="192" cm="1">
        <f t="array" ref="K177">Common_InputFunctions.Utility_DisplayArrayInTable(Fertiliser_SourceData.Fertiliser_Products_Data3(), FertiliserProducts[[#Headers],[Company]],61)</f>
        <v>23.8</v>
      </c>
      <c r="L177" s="192" cm="1">
        <f t="array" ref="L177">Common_InputFunctions.Utility_DisplayArrayInTable(Fertiliser_SourceData.Fertiliser_Products_Data3(), FertiliserProducts[[#Headers],[Company]],61)</f>
        <v>3.7</v>
      </c>
      <c r="M177" s="192" cm="1">
        <f t="array" ref="M177">Common_InputFunctions.Utility_DisplayArrayInTable(Fertiliser_SourceData.Fertiliser_Products_Data3(), FertiliserProducts[[#Headers],[Company]],61)</f>
        <v>13</v>
      </c>
      <c r="N177" s="192" cm="1">
        <f t="array" ref="N177">Common_InputFunctions.Utility_DisplayArrayInTable(Fertiliser_SourceData.Fertiliser_Products_Data3(), FertiliserProducts[[#Headers],[Company]],61)</f>
        <v>4.0999999999999996</v>
      </c>
      <c r="O177" s="192" t="str" cm="1">
        <f t="array" ref="O177">Common_InputFunctions.Utility_DisplayArrayInTable(Fertiliser_SourceData.Fertiliser_Products_Data3(), FertiliserProducts[[#Headers],[Company]],61)</f>
        <v>Nitrogen - Generic</v>
      </c>
      <c r="P177" s="192" cm="1">
        <f t="array" ref="P177">Common_InputFunctions.Utility_DisplayArrayInTable(Fertiliser_SourceData.Fertiliser_Products_Data3(), FertiliserProducts[[#Headers],[Company]],61)</f>
        <v>0.23799999999999999</v>
      </c>
      <c r="Q177" s="192" t="str" cm="1">
        <f t="array" ref="Q177">Common_InputFunctions.Utility_DisplayArrayInTable(Fertiliser_SourceData.Fertiliser_Products_Data3(), FertiliserProducts[[#Headers],[Company]],61)</f>
        <v>Phosphorus - Generic</v>
      </c>
      <c r="R177" s="192" cm="1">
        <f t="array" ref="R177">Common_InputFunctions.Utility_DisplayArrayInTable(Fertiliser_SourceData.Fertiliser_Products_Data3(), FertiliserProducts[[#Headers],[Company]],61)</f>
        <v>3.6999999999999998E-2</v>
      </c>
      <c r="S177" s="192" t="str" cm="1">
        <f t="array" ref="S177">Common_InputFunctions.Utility_DisplayArrayInTable(Fertiliser_SourceData.Fertiliser_Products_Data3(), FertiliserProducts[[#Headers],[Company]],61)</f>
        <v>Potassium - Generic</v>
      </c>
      <c r="T177" s="192" cm="1">
        <f t="array" ref="T177">Common_InputFunctions.Utility_DisplayArrayInTable(Fertiliser_SourceData.Fertiliser_Products_Data3(), FertiliserProducts[[#Headers],[Company]],61)</f>
        <v>0.13</v>
      </c>
      <c r="U177" s="192" t="str" cm="1">
        <f t="array" ref="U177">Common_InputFunctions.Utility_DisplayArrayInTable(Fertiliser_SourceData.Fertiliser_Products_Data3(), FertiliserProducts[[#Headers],[Company]],61)</f>
        <v>Sulfur - Generic</v>
      </c>
      <c r="V177" s="192" cm="1">
        <f t="array" ref="V177">Common_InputFunctions.Utility_DisplayArrayInTable(Fertiliser_SourceData.Fertiliser_Products_Data3(), FertiliserProducts[[#Headers],[Company]],61)</f>
        <v>4.1000000000000002E-2</v>
      </c>
      <c r="W177" s="192" t="str" cm="1">
        <f t="array" ref="W177">Common_InputFunctions.Utility_DisplayArrayInTable(Fertiliser_SourceData.Fertiliser_Products_Data3(), FertiliserProducts[[#Headers],[Company]],61)</f>
        <v/>
      </c>
      <c r="X177" s="192" t="str" cm="1">
        <f t="array" ref="X177">Common_InputFunctions.Utility_DisplayArrayInTable(Fertiliser_SourceData.Fertiliser_Products_Data3(), FertiliserProducts[[#Headers],[Company]],61)</f>
        <v/>
      </c>
      <c r="Y177" s="192" t="str" cm="1">
        <f t="array" ref="Y177">Common_InputFunctions.Utility_DisplayArrayInTable(Fertiliser_SourceData.Fertiliser_Products_Data3(), FertiliserProducts[[#Headers],[Company]],61)</f>
        <v/>
      </c>
      <c r="Z177" s="192" t="str" cm="1">
        <f t="array" ref="Z177">Common_InputFunctions.Utility_DisplayArrayInTable(Fertiliser_SourceData.Fertiliser_Products_Data3(), FertiliserProducts[[#Headers],[Company]],61)</f>
        <v/>
      </c>
      <c r="AA177" s="192" t="str" cm="1">
        <f t="array" ref="AA177">Common_InputFunctions.Utility_DisplayArrayInTable(Fertiliser_SourceData.Fertiliser_Products_Data3(), FertiliserProducts[[#Headers],[Company]],61)</f>
        <v/>
      </c>
      <c r="AB177" s="192" t="str" cm="1">
        <f t="array" ref="AB177">Common_InputFunctions.Utility_DisplayArrayInTable(Fertiliser_SourceData.Fertiliser_Products_Data3(), FertiliserProducts[[#Headers],[Company]],61)</f>
        <v/>
      </c>
      <c r="AC177" s="192" t="str" cm="1">
        <f t="array" ref="AC177">Common_InputFunctions.Utility_DisplayArrayInTable(Fertiliser_SourceData.Fertiliser_Products_Data3(), FertiliserProducts[[#Headers],[Company]],61)</f>
        <v/>
      </c>
      <c r="AD177" s="192" t="str" cm="1">
        <f t="array" ref="AD177">Common_InputFunctions.Utility_DisplayArrayInTable(Fertiliser_SourceData.Fertiliser_Products_Data3(), FertiliserProducts[[#Headers],[Company]],61)</f>
        <v/>
      </c>
      <c r="AE177" s="192" t="str" cm="1">
        <f t="array" ref="AE177">Common_InputFunctions.Utility_DisplayArrayInTable(Fertiliser_SourceData.Fertiliser_Products_Data3(), FertiliserProducts[[#Headers],[Company]],61)</f>
        <v/>
      </c>
      <c r="AF177" s="192" t="str" cm="1">
        <f t="array" ref="AF177">Common_InputFunctions.Utility_DisplayArrayInTable(Fertiliser_SourceData.Fertiliser_Products_Data3(), FertiliserProducts[[#Headers],[Company]],61)</f>
        <v/>
      </c>
      <c r="AG177" s="192" t="str" cm="1">
        <f t="array" ref="AG177">Common_InputFunctions.Utility_DisplayArrayInTable(Fertiliser_SourceData.Fertiliser_Products_Data3(), FertiliserProducts[[#Headers],[Company]],61)</f>
        <v/>
      </c>
      <c r="AH177" s="192" t="str" cm="1">
        <f t="array" ref="AH177">Common_InputFunctions.Utility_DisplayArrayInTable(Fertiliser_SourceData.Fertiliser_Products_Data3(), FertiliserProducts[[#Headers],[Company]],61)</f>
        <v/>
      </c>
      <c r="AK177" s="1"/>
    </row>
    <row r="178" spans="4:37" x14ac:dyDescent="0.25">
      <c r="D178" s="192" t="str" cm="1">
        <f t="array" ref="D178">Common_InputFunctions.Utility_DisplayArrayInTable(Fertiliser_SourceData.Fertiliser_Products_Data3(), FertiliserProducts[[#Headers],[Company]],61)</f>
        <v>Incitec Pivot Fertilisers</v>
      </c>
      <c r="E178" s="192" t="str" cm="1">
        <f t="array" ref="E178">Common_InputFunctions.Utility_DisplayArrayInTable(Fertiliser_SourceData.Fertiliser_Products_Data3(), FertiliserProducts[[#Headers],[Company]],61)</f>
        <v>Greentop K</v>
      </c>
      <c r="F178" s="192" t="str" cm="1">
        <f t="array" ref="F178">Common_InputFunctions.Utility_DisplayArrayInTable(Fertiliser_SourceData.Fertiliser_Products_Data3(), FertiliserProducts[[#Headers],[Company]],61)</f>
        <v>kg</v>
      </c>
      <c r="G178" s="192" cm="1">
        <f t="array" ref="G178">Common_InputFunctions.Utility_DisplayArrayInTable(Fertiliser_SourceData.Fertiliser_Products_Data3(), FertiliserProducts[[#Headers],[Company]],61)</f>
        <v>1</v>
      </c>
      <c r="H178" s="192" t="str" cm="1">
        <f t="array" ref="H178">Common_InputFunctions.Utility_DisplayArrayInTable(Fertiliser_SourceData.Fertiliser_Products_Data3(), FertiliserProducts[[#Headers],[Company]],61)</f>
        <v/>
      </c>
      <c r="I178" s="192" t="str" cm="1">
        <f t="array" ref="I178">Common_InputFunctions.Utility_DisplayArrayInTable(Fertiliser_SourceData.Fertiliser_Products_Data3(), FertiliserProducts[[#Headers],[Company]],61)</f>
        <v/>
      </c>
      <c r="J178" s="192" t="str" cm="1">
        <f t="array" ref="J178">Common_InputFunctions.Utility_DisplayArrayInTable(Fertiliser_SourceData.Fertiliser_Products_Data3(), FertiliserProducts[[#Headers],[Company]],61)</f>
        <v/>
      </c>
      <c r="K178" s="192" cm="1">
        <f t="array" ref="K178">Common_InputFunctions.Utility_DisplayArrayInTable(Fertiliser_SourceData.Fertiliser_Products_Data3(), FertiliserProducts[[#Headers],[Company]],61)</f>
        <v>32.799999999999997</v>
      </c>
      <c r="L178" s="192" t="str" cm="1">
        <f t="array" ref="L178">Common_InputFunctions.Utility_DisplayArrayInTable(Fertiliser_SourceData.Fertiliser_Products_Data3(), FertiliserProducts[[#Headers],[Company]],61)</f>
        <v/>
      </c>
      <c r="M178" s="192" cm="1">
        <f t="array" ref="M178">Common_InputFunctions.Utility_DisplayArrayInTable(Fertiliser_SourceData.Fertiliser_Products_Data3(), FertiliserProducts[[#Headers],[Company]],61)</f>
        <v>11</v>
      </c>
      <c r="N178" s="192" cm="1">
        <f t="array" ref="N178">Common_InputFunctions.Utility_DisplayArrayInTable(Fertiliser_SourceData.Fertiliser_Products_Data3(), FertiliserProducts[[#Headers],[Company]],61)</f>
        <v>2.9</v>
      </c>
      <c r="O178" s="192" t="str" cm="1">
        <f t="array" ref="O178">Common_InputFunctions.Utility_DisplayArrayInTable(Fertiliser_SourceData.Fertiliser_Products_Data3(), FertiliserProducts[[#Headers],[Company]],61)</f>
        <v>Urea</v>
      </c>
      <c r="P178" s="192" cm="1">
        <f t="array" ref="P178">Common_InputFunctions.Utility_DisplayArrayInTable(Fertiliser_SourceData.Fertiliser_Products_Data3(), FertiliserProducts[[#Headers],[Company]],61)</f>
        <v>0.66086999999999996</v>
      </c>
      <c r="Q178" s="192" t="str" cm="1">
        <f t="array" ref="Q178">Common_InputFunctions.Utility_DisplayArrayInTable(Fertiliser_SourceData.Fertiliser_Products_Data3(), FertiliserProducts[[#Headers],[Company]],61)</f>
        <v>Nitrogen - Ammoniacal</v>
      </c>
      <c r="R178" s="192" cm="1">
        <f t="array" ref="R178">Common_InputFunctions.Utility_DisplayArrayInTable(Fertiliser_SourceData.Fertiliser_Products_Data3(), FertiliserProducts[[#Headers],[Company]],61)</f>
        <v>2.4E-2</v>
      </c>
      <c r="S178" s="192" t="str" cm="1">
        <f t="array" ref="S178">Common_InputFunctions.Utility_DisplayArrayInTable(Fertiliser_SourceData.Fertiliser_Products_Data3(), FertiliserProducts[[#Headers],[Company]],61)</f>
        <v>Potassium - Generic</v>
      </c>
      <c r="T178" s="192" cm="1">
        <f t="array" ref="T178">Common_InputFunctions.Utility_DisplayArrayInTable(Fertiliser_SourceData.Fertiliser_Products_Data3(), FertiliserProducts[[#Headers],[Company]],61)</f>
        <v>0.11</v>
      </c>
      <c r="U178" s="192" t="str" cm="1">
        <f t="array" ref="U178">Common_InputFunctions.Utility_DisplayArrayInTable(Fertiliser_SourceData.Fertiliser_Products_Data3(), FertiliserProducts[[#Headers],[Company]],61)</f>
        <v>Sulfur - Generic</v>
      </c>
      <c r="V178" s="192" cm="1">
        <f t="array" ref="V178">Common_InputFunctions.Utility_DisplayArrayInTable(Fertiliser_SourceData.Fertiliser_Products_Data3(), FertiliserProducts[[#Headers],[Company]],61)</f>
        <v>2.9000000000000001E-2</v>
      </c>
      <c r="W178" s="192" t="str" cm="1">
        <f t="array" ref="W178">Common_InputFunctions.Utility_DisplayArrayInTable(Fertiliser_SourceData.Fertiliser_Products_Data3(), FertiliserProducts[[#Headers],[Company]],61)</f>
        <v/>
      </c>
      <c r="X178" s="192" t="str" cm="1">
        <f t="array" ref="X178">Common_InputFunctions.Utility_DisplayArrayInTable(Fertiliser_SourceData.Fertiliser_Products_Data3(), FertiliserProducts[[#Headers],[Company]],61)</f>
        <v/>
      </c>
      <c r="Y178" s="192" t="str" cm="1">
        <f t="array" ref="Y178">Common_InputFunctions.Utility_DisplayArrayInTable(Fertiliser_SourceData.Fertiliser_Products_Data3(), FertiliserProducts[[#Headers],[Company]],61)</f>
        <v/>
      </c>
      <c r="Z178" s="192" t="str" cm="1">
        <f t="array" ref="Z178">Common_InputFunctions.Utility_DisplayArrayInTable(Fertiliser_SourceData.Fertiliser_Products_Data3(), FertiliserProducts[[#Headers],[Company]],61)</f>
        <v/>
      </c>
      <c r="AA178" s="192" t="str" cm="1">
        <f t="array" ref="AA178">Common_InputFunctions.Utility_DisplayArrayInTable(Fertiliser_SourceData.Fertiliser_Products_Data3(), FertiliserProducts[[#Headers],[Company]],61)</f>
        <v/>
      </c>
      <c r="AB178" s="192" t="str" cm="1">
        <f t="array" ref="AB178">Common_InputFunctions.Utility_DisplayArrayInTable(Fertiliser_SourceData.Fertiliser_Products_Data3(), FertiliserProducts[[#Headers],[Company]],61)</f>
        <v/>
      </c>
      <c r="AC178" s="192" t="str" cm="1">
        <f t="array" ref="AC178">Common_InputFunctions.Utility_DisplayArrayInTable(Fertiliser_SourceData.Fertiliser_Products_Data3(), FertiliserProducts[[#Headers],[Company]],61)</f>
        <v/>
      </c>
      <c r="AD178" s="192" t="str" cm="1">
        <f t="array" ref="AD178">Common_InputFunctions.Utility_DisplayArrayInTable(Fertiliser_SourceData.Fertiliser_Products_Data3(), FertiliserProducts[[#Headers],[Company]],61)</f>
        <v/>
      </c>
      <c r="AE178" s="192" t="str" cm="1">
        <f t="array" ref="AE178">Common_InputFunctions.Utility_DisplayArrayInTable(Fertiliser_SourceData.Fertiliser_Products_Data3(), FertiliserProducts[[#Headers],[Company]],61)</f>
        <v/>
      </c>
      <c r="AF178" s="192" t="str" cm="1">
        <f t="array" ref="AF178">Common_InputFunctions.Utility_DisplayArrayInTable(Fertiliser_SourceData.Fertiliser_Products_Data3(), FertiliserProducts[[#Headers],[Company]],61)</f>
        <v/>
      </c>
      <c r="AG178" s="192" t="str" cm="1">
        <f t="array" ref="AG178">Common_InputFunctions.Utility_DisplayArrayInTable(Fertiliser_SourceData.Fertiliser_Products_Data3(), FertiliserProducts[[#Headers],[Company]],61)</f>
        <v/>
      </c>
      <c r="AH178" s="192" t="str" cm="1">
        <f t="array" ref="AH178">Common_InputFunctions.Utility_DisplayArrayInTable(Fertiliser_SourceData.Fertiliser_Products_Data3(), FertiliserProducts[[#Headers],[Company]],61)</f>
        <v/>
      </c>
      <c r="AK178" s="1"/>
    </row>
    <row r="179" spans="4:37" x14ac:dyDescent="0.25">
      <c r="D179" s="192" t="str" cm="1">
        <f t="array" ref="D179">Common_InputFunctions.Utility_DisplayArrayInTable(Fertiliser_SourceData.Fertiliser_Products_Data3(), FertiliserProducts[[#Headers],[Company]],61)</f>
        <v>Incitec Pivot Fertilisers</v>
      </c>
      <c r="E179" s="192" t="str" cm="1">
        <f t="array" ref="E179">Common_InputFunctions.Utility_DisplayArrayInTable(Fertiliser_SourceData.Fertiliser_Products_Data3(), FertiliserProducts[[#Headers],[Company]],61)</f>
        <v>HayBoosta</v>
      </c>
      <c r="F179" s="192" t="str" cm="1">
        <f t="array" ref="F179">Common_InputFunctions.Utility_DisplayArrayInTable(Fertiliser_SourceData.Fertiliser_Products_Data3(), FertiliserProducts[[#Headers],[Company]],61)</f>
        <v>kg</v>
      </c>
      <c r="G179" s="192" cm="1">
        <f t="array" ref="G179">Common_InputFunctions.Utility_DisplayArrayInTable(Fertiliser_SourceData.Fertiliser_Products_Data3(), FertiliserProducts[[#Headers],[Company]],61)</f>
        <v>1</v>
      </c>
      <c r="H179" s="192" t="str" cm="1">
        <f t="array" ref="H179">Common_InputFunctions.Utility_DisplayArrayInTable(Fertiliser_SourceData.Fertiliser_Products_Data3(), FertiliserProducts[[#Headers],[Company]],61)</f>
        <v/>
      </c>
      <c r="I179" s="192" t="str" cm="1">
        <f t="array" ref="I179">Common_InputFunctions.Utility_DisplayArrayInTable(Fertiliser_SourceData.Fertiliser_Products_Data3(), FertiliserProducts[[#Headers],[Company]],61)</f>
        <v/>
      </c>
      <c r="J179" s="192" t="str" cm="1">
        <f t="array" ref="J179">Common_InputFunctions.Utility_DisplayArrayInTable(Fertiliser_SourceData.Fertiliser_Products_Data3(), FertiliserProducts[[#Headers],[Company]],61)</f>
        <v/>
      </c>
      <c r="K179" s="192" cm="1">
        <f t="array" ref="K179">Common_InputFunctions.Utility_DisplayArrayInTable(Fertiliser_SourceData.Fertiliser_Products_Data3(), FertiliserProducts[[#Headers],[Company]],61)</f>
        <v>11.7</v>
      </c>
      <c r="L179" s="192" cm="1">
        <f t="array" ref="L179">Common_InputFunctions.Utility_DisplayArrayInTable(Fertiliser_SourceData.Fertiliser_Products_Data3(), FertiliserProducts[[#Headers],[Company]],61)</f>
        <v>4.7</v>
      </c>
      <c r="M179" s="192" cm="1">
        <f t="array" ref="M179">Common_InputFunctions.Utility_DisplayArrayInTable(Fertiliser_SourceData.Fertiliser_Products_Data3(), FertiliserProducts[[#Headers],[Company]],61)</f>
        <v>23.9</v>
      </c>
      <c r="N179" s="192" cm="1">
        <f t="array" ref="N179">Common_InputFunctions.Utility_DisplayArrayInTable(Fertiliser_SourceData.Fertiliser_Products_Data3(), FertiliserProducts[[#Headers],[Company]],61)</f>
        <v>4.5999999999999996</v>
      </c>
      <c r="O179" s="192" t="str" cm="1">
        <f t="array" ref="O179">Common_InputFunctions.Utility_DisplayArrayInTable(Fertiliser_SourceData.Fertiliser_Products_Data3(), FertiliserProducts[[#Headers],[Company]],61)</f>
        <v>Nitrogen - Generic</v>
      </c>
      <c r="P179" s="192" cm="1">
        <f t="array" ref="P179">Common_InputFunctions.Utility_DisplayArrayInTable(Fertiliser_SourceData.Fertiliser_Products_Data3(), FertiliserProducts[[#Headers],[Company]],61)</f>
        <v>0.11700000000000001</v>
      </c>
      <c r="Q179" s="192" t="str" cm="1">
        <f t="array" ref="Q179">Common_InputFunctions.Utility_DisplayArrayInTable(Fertiliser_SourceData.Fertiliser_Products_Data3(), FertiliserProducts[[#Headers],[Company]],61)</f>
        <v>Phosphorus - Generic</v>
      </c>
      <c r="R179" s="192" cm="1">
        <f t="array" ref="R179">Common_InputFunctions.Utility_DisplayArrayInTable(Fertiliser_SourceData.Fertiliser_Products_Data3(), FertiliserProducts[[#Headers],[Company]],61)</f>
        <v>4.7E-2</v>
      </c>
      <c r="S179" s="192" t="str" cm="1">
        <f t="array" ref="S179">Common_InputFunctions.Utility_DisplayArrayInTable(Fertiliser_SourceData.Fertiliser_Products_Data3(), FertiliserProducts[[#Headers],[Company]],61)</f>
        <v>Potassium - Generic</v>
      </c>
      <c r="T179" s="192" cm="1">
        <f t="array" ref="T179">Common_InputFunctions.Utility_DisplayArrayInTable(Fertiliser_SourceData.Fertiliser_Products_Data3(), FertiliserProducts[[#Headers],[Company]],61)</f>
        <v>0.23899999999999999</v>
      </c>
      <c r="U179" s="192" t="str" cm="1">
        <f t="array" ref="U179">Common_InputFunctions.Utility_DisplayArrayInTable(Fertiliser_SourceData.Fertiliser_Products_Data3(), FertiliserProducts[[#Headers],[Company]],61)</f>
        <v>Sulfur - Generic</v>
      </c>
      <c r="V179" s="192" cm="1">
        <f t="array" ref="V179">Common_InputFunctions.Utility_DisplayArrayInTable(Fertiliser_SourceData.Fertiliser_Products_Data3(), FertiliserProducts[[#Headers],[Company]],61)</f>
        <v>4.5999999999999999E-2</v>
      </c>
      <c r="W179" s="192" t="str" cm="1">
        <f t="array" ref="W179">Common_InputFunctions.Utility_DisplayArrayInTable(Fertiliser_SourceData.Fertiliser_Products_Data3(), FertiliserProducts[[#Headers],[Company]],61)</f>
        <v/>
      </c>
      <c r="X179" s="192" t="str" cm="1">
        <f t="array" ref="X179">Common_InputFunctions.Utility_DisplayArrayInTable(Fertiliser_SourceData.Fertiliser_Products_Data3(), FertiliserProducts[[#Headers],[Company]],61)</f>
        <v/>
      </c>
      <c r="Y179" s="192" t="str" cm="1">
        <f t="array" ref="Y179">Common_InputFunctions.Utility_DisplayArrayInTable(Fertiliser_SourceData.Fertiliser_Products_Data3(), FertiliserProducts[[#Headers],[Company]],61)</f>
        <v/>
      </c>
      <c r="Z179" s="192" t="str" cm="1">
        <f t="array" ref="Z179">Common_InputFunctions.Utility_DisplayArrayInTable(Fertiliser_SourceData.Fertiliser_Products_Data3(), FertiliserProducts[[#Headers],[Company]],61)</f>
        <v/>
      </c>
      <c r="AA179" s="192" t="str" cm="1">
        <f t="array" ref="AA179">Common_InputFunctions.Utility_DisplayArrayInTable(Fertiliser_SourceData.Fertiliser_Products_Data3(), FertiliserProducts[[#Headers],[Company]],61)</f>
        <v/>
      </c>
      <c r="AB179" s="192" t="str" cm="1">
        <f t="array" ref="AB179">Common_InputFunctions.Utility_DisplayArrayInTable(Fertiliser_SourceData.Fertiliser_Products_Data3(), FertiliserProducts[[#Headers],[Company]],61)</f>
        <v/>
      </c>
      <c r="AC179" s="192" t="str" cm="1">
        <f t="array" ref="AC179">Common_InputFunctions.Utility_DisplayArrayInTable(Fertiliser_SourceData.Fertiliser_Products_Data3(), FertiliserProducts[[#Headers],[Company]],61)</f>
        <v/>
      </c>
      <c r="AD179" s="192" t="str" cm="1">
        <f t="array" ref="AD179">Common_InputFunctions.Utility_DisplayArrayInTable(Fertiliser_SourceData.Fertiliser_Products_Data3(), FertiliserProducts[[#Headers],[Company]],61)</f>
        <v/>
      </c>
      <c r="AE179" s="192" t="str" cm="1">
        <f t="array" ref="AE179">Common_InputFunctions.Utility_DisplayArrayInTable(Fertiliser_SourceData.Fertiliser_Products_Data3(), FertiliserProducts[[#Headers],[Company]],61)</f>
        <v/>
      </c>
      <c r="AF179" s="192" t="str" cm="1">
        <f t="array" ref="AF179">Common_InputFunctions.Utility_DisplayArrayInTable(Fertiliser_SourceData.Fertiliser_Products_Data3(), FertiliserProducts[[#Headers],[Company]],61)</f>
        <v/>
      </c>
      <c r="AG179" s="192" t="str" cm="1">
        <f t="array" ref="AG179">Common_InputFunctions.Utility_DisplayArrayInTable(Fertiliser_SourceData.Fertiliser_Products_Data3(), FertiliserProducts[[#Headers],[Company]],61)</f>
        <v/>
      </c>
      <c r="AH179" s="192" t="str" cm="1">
        <f t="array" ref="AH179">Common_InputFunctions.Utility_DisplayArrayInTable(Fertiliser_SourceData.Fertiliser_Products_Data3(), FertiliserProducts[[#Headers],[Company]],61)</f>
        <v/>
      </c>
      <c r="AK179" s="1"/>
    </row>
    <row r="180" spans="4:37" x14ac:dyDescent="0.25">
      <c r="D180" s="192" t="str" cm="1">
        <f t="array" ref="D180">Common_InputFunctions.Utility_DisplayArrayInTable(Fertiliser_SourceData.Fertiliser_Products_Data4(),FertiliserProducts[[#Headers],[Company]], 91)</f>
        <v>Impact Fertilisers</v>
      </c>
      <c r="E180" s="192" t="str" cm="1">
        <f t="array" ref="E180">Common_InputFunctions.Utility_DisplayArrayInTable(Fertiliser_SourceData.Fertiliser_Products_Data4(),FertiliserProducts[[#Headers],[Company]], 91)</f>
        <v>Impact Super Potash 1&amp;1</v>
      </c>
      <c r="F180" s="192" t="str" cm="1">
        <f t="array" ref="F180">Common_InputFunctions.Utility_DisplayArrayInTable(Fertiliser_SourceData.Fertiliser_Products_Data4(),FertiliserProducts[[#Headers],[Company]], 91)</f>
        <v>kg</v>
      </c>
      <c r="G180" s="192" cm="1">
        <f t="array" ref="G180">Common_InputFunctions.Utility_DisplayArrayInTable(Fertiliser_SourceData.Fertiliser_Products_Data4(),FertiliserProducts[[#Headers],[Company]], 91)</f>
        <v>1</v>
      </c>
      <c r="H180" s="192" t="str" cm="1">
        <f t="array" ref="H180">Common_InputFunctions.Utility_DisplayArrayInTable(Fertiliser_SourceData.Fertiliser_Products_Data4(),FertiliserProducts[[#Headers],[Company]], 91)</f>
        <v/>
      </c>
      <c r="I180" s="192" t="str" cm="1">
        <f t="array" ref="I180">Common_InputFunctions.Utility_DisplayArrayInTable(Fertiliser_SourceData.Fertiliser_Products_Data4(),FertiliserProducts[[#Headers],[Company]], 91)</f>
        <v/>
      </c>
      <c r="J180" s="192" t="str" cm="1">
        <f t="array" ref="J180">Common_InputFunctions.Utility_DisplayArrayInTable(Fertiliser_SourceData.Fertiliser_Products_Data4(),FertiliserProducts[[#Headers],[Company]], 91)</f>
        <v/>
      </c>
      <c r="K180" s="192" t="str" cm="1">
        <f t="array" ref="K180">Common_InputFunctions.Utility_DisplayArrayInTable(Fertiliser_SourceData.Fertiliser_Products_Data4(),FertiliserProducts[[#Headers],[Company]], 91)</f>
        <v/>
      </c>
      <c r="L180" s="192" cm="1">
        <f t="array" ref="L180">Common_InputFunctions.Utility_DisplayArrayInTable(Fertiliser_SourceData.Fertiliser_Products_Data4(),FertiliserProducts[[#Headers],[Company]], 91)</f>
        <v>4.4000000000000004</v>
      </c>
      <c r="M180" s="192" cm="1">
        <f t="array" ref="M180">Common_InputFunctions.Utility_DisplayArrayInTable(Fertiliser_SourceData.Fertiliser_Products_Data4(),FertiliserProducts[[#Headers],[Company]], 91)</f>
        <v>25</v>
      </c>
      <c r="N180" s="192" cm="1">
        <f t="array" ref="N180">Common_InputFunctions.Utility_DisplayArrayInTable(Fertiliser_SourceData.Fertiliser_Products_Data4(),FertiliserProducts[[#Headers],[Company]], 91)</f>
        <v>5.5</v>
      </c>
      <c r="O180" s="192" t="str" cm="1">
        <f t="array" ref="O180">Common_InputFunctions.Utility_DisplayArrayInTable(Fertiliser_SourceData.Fertiliser_Products_Data4(),FertiliserProducts[[#Headers],[Company]], 91)</f>
        <v>Single superphosphate (SSP)</v>
      </c>
      <c r="P180" s="192" cm="1">
        <f t="array" ref="P180">Common_InputFunctions.Utility_DisplayArrayInTable(Fertiliser_SourceData.Fertiliser_Products_Data4(),FertiliserProducts[[#Headers],[Company]], 91)</f>
        <v>0.5</v>
      </c>
      <c r="Q180" s="192" t="str" cm="1">
        <f t="array" ref="Q180">Common_InputFunctions.Utility_DisplayArrayInTable(Fertiliser_SourceData.Fertiliser_Products_Data4(),FertiliserProducts[[#Headers],[Company]], 91)</f>
        <v>Muriate of potash (MOP)</v>
      </c>
      <c r="R180" s="192" cm="1">
        <f t="array" ref="R180">Common_InputFunctions.Utility_DisplayArrayInTable(Fertiliser_SourceData.Fertiliser_Products_Data4(),FertiliserProducts[[#Headers],[Company]], 91)</f>
        <v>0.5</v>
      </c>
      <c r="S180" s="192" t="str" cm="1">
        <f t="array" ref="S180">Common_InputFunctions.Utility_DisplayArrayInTable(Fertiliser_SourceData.Fertiliser_Products_Data4(),FertiliserProducts[[#Headers],[Company]], 91)</f>
        <v/>
      </c>
      <c r="T180" s="192" t="str" cm="1">
        <f t="array" ref="T180">Common_InputFunctions.Utility_DisplayArrayInTable(Fertiliser_SourceData.Fertiliser_Products_Data4(),FertiliserProducts[[#Headers],[Company]], 91)</f>
        <v/>
      </c>
      <c r="U180" s="192" t="str" cm="1">
        <f t="array" ref="U180">Common_InputFunctions.Utility_DisplayArrayInTable(Fertiliser_SourceData.Fertiliser_Products_Data4(),FertiliserProducts[[#Headers],[Company]], 91)</f>
        <v/>
      </c>
      <c r="V180" s="192" t="str" cm="1">
        <f t="array" ref="V180">Common_InputFunctions.Utility_DisplayArrayInTable(Fertiliser_SourceData.Fertiliser_Products_Data4(),FertiliserProducts[[#Headers],[Company]], 91)</f>
        <v/>
      </c>
      <c r="W180" s="192" t="str" cm="1">
        <f t="array" ref="W180">Common_InputFunctions.Utility_DisplayArrayInTable(Fertiliser_SourceData.Fertiliser_Products_Data4(),FertiliserProducts[[#Headers],[Company]], 91)</f>
        <v/>
      </c>
      <c r="X180" s="192" t="str" cm="1">
        <f t="array" ref="X180">Common_InputFunctions.Utility_DisplayArrayInTable(Fertiliser_SourceData.Fertiliser_Products_Data4(),FertiliserProducts[[#Headers],[Company]], 91)</f>
        <v/>
      </c>
      <c r="Y180" s="192" t="str" cm="1">
        <f t="array" ref="Y180">Common_InputFunctions.Utility_DisplayArrayInTable(Fertiliser_SourceData.Fertiliser_Products_Data4(),FertiliserProducts[[#Headers],[Company]], 91)</f>
        <v/>
      </c>
      <c r="Z180" s="192" t="str" cm="1">
        <f t="array" ref="Z180">Common_InputFunctions.Utility_DisplayArrayInTable(Fertiliser_SourceData.Fertiliser_Products_Data4(),FertiliserProducts[[#Headers],[Company]], 91)</f>
        <v/>
      </c>
      <c r="AA180" s="192" t="str" cm="1">
        <f t="array" ref="AA180">Common_InputFunctions.Utility_DisplayArrayInTable(Fertiliser_SourceData.Fertiliser_Products_Data4(),FertiliserProducts[[#Headers],[Company]], 91)</f>
        <v/>
      </c>
      <c r="AB180" s="192" t="str" cm="1">
        <f t="array" ref="AB180">Common_InputFunctions.Utility_DisplayArrayInTable(Fertiliser_SourceData.Fertiliser_Products_Data4(),FertiliserProducts[[#Headers],[Company]], 91)</f>
        <v/>
      </c>
      <c r="AC180" s="192" t="str" cm="1">
        <f t="array" ref="AC180">Common_InputFunctions.Utility_DisplayArrayInTable(Fertiliser_SourceData.Fertiliser_Products_Data4(),FertiliserProducts[[#Headers],[Company]], 91)</f>
        <v/>
      </c>
      <c r="AD180" s="192" t="str" cm="1">
        <f t="array" ref="AD180">Common_InputFunctions.Utility_DisplayArrayInTable(Fertiliser_SourceData.Fertiliser_Products_Data4(),FertiliserProducts[[#Headers],[Company]], 91)</f>
        <v/>
      </c>
      <c r="AE180" s="192" t="str" cm="1">
        <f t="array" ref="AE180">Common_InputFunctions.Utility_DisplayArrayInTable(Fertiliser_SourceData.Fertiliser_Products_Data4(),FertiliserProducts[[#Headers],[Company]], 91)</f>
        <v/>
      </c>
      <c r="AF180" s="192" t="str" cm="1">
        <f t="array" ref="AF180">Common_InputFunctions.Utility_DisplayArrayInTable(Fertiliser_SourceData.Fertiliser_Products_Data4(),FertiliserProducts[[#Headers],[Company]], 91)</f>
        <v/>
      </c>
      <c r="AG180" s="192" t="str" cm="1">
        <f t="array" ref="AG180">Common_InputFunctions.Utility_DisplayArrayInTable(Fertiliser_SourceData.Fertiliser_Products_Data4(),FertiliserProducts[[#Headers],[Company]], 91)</f>
        <v/>
      </c>
      <c r="AH180" s="192" t="str" cm="1">
        <f t="array" ref="AH180">Common_InputFunctions.Utility_DisplayArrayInTable(Fertiliser_SourceData.Fertiliser_Products_Data4(),FertiliserProducts[[#Headers],[Company]], 91)</f>
        <v/>
      </c>
    </row>
    <row r="181" spans="4:37" x14ac:dyDescent="0.25">
      <c r="D181" s="192" t="str" cm="1">
        <f t="array" ref="D181">Common_InputFunctions.Utility_DisplayArrayInTable(Fertiliser_SourceData.Fertiliser_Products_Data4(),FertiliserProducts[[#Headers],[Company]], 91)</f>
        <v>Impact Fertilisers</v>
      </c>
      <c r="E181" s="192" t="str" cm="1">
        <f t="array" ref="E181">Common_InputFunctions.Utility_DisplayArrayInTable(Fertiliser_SourceData.Fertiliser_Products_Data4(),FertiliserProducts[[#Headers],[Company]], 91)</f>
        <v>Impact Super Potash 2&amp;1</v>
      </c>
      <c r="F181" s="192" t="str" cm="1">
        <f t="array" ref="F181">Common_InputFunctions.Utility_DisplayArrayInTable(Fertiliser_SourceData.Fertiliser_Products_Data4(),FertiliserProducts[[#Headers],[Company]], 91)</f>
        <v>kg</v>
      </c>
      <c r="G181" s="192" cm="1">
        <f t="array" ref="G181">Common_InputFunctions.Utility_DisplayArrayInTable(Fertiliser_SourceData.Fertiliser_Products_Data4(),FertiliserProducts[[#Headers],[Company]], 91)</f>
        <v>1</v>
      </c>
      <c r="H181" s="192" t="str" cm="1">
        <f t="array" ref="H181">Common_InputFunctions.Utility_DisplayArrayInTable(Fertiliser_SourceData.Fertiliser_Products_Data4(),FertiliserProducts[[#Headers],[Company]], 91)</f>
        <v/>
      </c>
      <c r="I181" s="192" t="str" cm="1">
        <f t="array" ref="I181">Common_InputFunctions.Utility_DisplayArrayInTable(Fertiliser_SourceData.Fertiliser_Products_Data4(),FertiliserProducts[[#Headers],[Company]], 91)</f>
        <v/>
      </c>
      <c r="J181" s="192" t="str" cm="1">
        <f t="array" ref="J181">Common_InputFunctions.Utility_DisplayArrayInTable(Fertiliser_SourceData.Fertiliser_Products_Data4(),FertiliserProducts[[#Headers],[Company]], 91)</f>
        <v/>
      </c>
      <c r="K181" s="192" t="str" cm="1">
        <f t="array" ref="K181">Common_InputFunctions.Utility_DisplayArrayInTable(Fertiliser_SourceData.Fertiliser_Products_Data4(),FertiliserProducts[[#Headers],[Company]], 91)</f>
        <v/>
      </c>
      <c r="L181" s="192" cm="1">
        <f t="array" ref="L181">Common_InputFunctions.Utility_DisplayArrayInTable(Fertiliser_SourceData.Fertiliser_Products_Data4(),FertiliserProducts[[#Headers],[Company]], 91)</f>
        <v>5.84</v>
      </c>
      <c r="M181" s="192" cm="1">
        <f t="array" ref="M181">Common_InputFunctions.Utility_DisplayArrayInTable(Fertiliser_SourceData.Fertiliser_Products_Data4(),FertiliserProducts[[#Headers],[Company]], 91)</f>
        <v>16.8</v>
      </c>
      <c r="N181" s="192" cm="1">
        <f t="array" ref="N181">Common_InputFunctions.Utility_DisplayArrayInTable(Fertiliser_SourceData.Fertiliser_Products_Data4(),FertiliserProducts[[#Headers],[Company]], 91)</f>
        <v>7.29</v>
      </c>
      <c r="O181" s="192" t="str" cm="1">
        <f t="array" ref="O181">Common_InputFunctions.Utility_DisplayArrayInTable(Fertiliser_SourceData.Fertiliser_Products_Data4(),FertiliserProducts[[#Headers],[Company]], 91)</f>
        <v>Single superphosphate (SSP)</v>
      </c>
      <c r="P181" s="192" cm="1">
        <f t="array" ref="P181">Common_InputFunctions.Utility_DisplayArrayInTable(Fertiliser_SourceData.Fertiliser_Products_Data4(),FertiliserProducts[[#Headers],[Company]], 91)</f>
        <v>0.66315800000000003</v>
      </c>
      <c r="Q181" s="192" t="str" cm="1">
        <f t="array" ref="Q181">Common_InputFunctions.Utility_DisplayArrayInTable(Fertiliser_SourceData.Fertiliser_Products_Data4(),FertiliserProducts[[#Headers],[Company]], 91)</f>
        <v>Muriate of potash (MOP)</v>
      </c>
      <c r="R181" s="192" cm="1">
        <f t="array" ref="R181">Common_InputFunctions.Utility_DisplayArrayInTable(Fertiliser_SourceData.Fertiliser_Products_Data4(),FertiliserProducts[[#Headers],[Company]], 91)</f>
        <v>0.33600000000000002</v>
      </c>
      <c r="S181" s="192" t="str" cm="1">
        <f t="array" ref="S181">Common_InputFunctions.Utility_DisplayArrayInTable(Fertiliser_SourceData.Fertiliser_Products_Data4(),FertiliserProducts[[#Headers],[Company]], 91)</f>
        <v/>
      </c>
      <c r="T181" s="192" t="str" cm="1">
        <f t="array" ref="T181">Common_InputFunctions.Utility_DisplayArrayInTable(Fertiliser_SourceData.Fertiliser_Products_Data4(),FertiliserProducts[[#Headers],[Company]], 91)</f>
        <v/>
      </c>
      <c r="U181" s="192" t="str" cm="1">
        <f t="array" ref="U181">Common_InputFunctions.Utility_DisplayArrayInTable(Fertiliser_SourceData.Fertiliser_Products_Data4(),FertiliserProducts[[#Headers],[Company]], 91)</f>
        <v/>
      </c>
      <c r="V181" s="192" t="str" cm="1">
        <f t="array" ref="V181">Common_InputFunctions.Utility_DisplayArrayInTable(Fertiliser_SourceData.Fertiliser_Products_Data4(),FertiliserProducts[[#Headers],[Company]], 91)</f>
        <v/>
      </c>
      <c r="W181" s="192" t="str" cm="1">
        <f t="array" ref="W181">Common_InputFunctions.Utility_DisplayArrayInTable(Fertiliser_SourceData.Fertiliser_Products_Data4(),FertiliserProducts[[#Headers],[Company]], 91)</f>
        <v/>
      </c>
      <c r="X181" s="192" t="str" cm="1">
        <f t="array" ref="X181">Common_InputFunctions.Utility_DisplayArrayInTable(Fertiliser_SourceData.Fertiliser_Products_Data4(),FertiliserProducts[[#Headers],[Company]], 91)</f>
        <v/>
      </c>
      <c r="Y181" s="192" t="str" cm="1">
        <f t="array" ref="Y181">Common_InputFunctions.Utility_DisplayArrayInTable(Fertiliser_SourceData.Fertiliser_Products_Data4(),FertiliserProducts[[#Headers],[Company]], 91)</f>
        <v/>
      </c>
      <c r="Z181" s="192" t="str" cm="1">
        <f t="array" ref="Z181">Common_InputFunctions.Utility_DisplayArrayInTable(Fertiliser_SourceData.Fertiliser_Products_Data4(),FertiliserProducts[[#Headers],[Company]], 91)</f>
        <v/>
      </c>
      <c r="AA181" s="192" t="str" cm="1">
        <f t="array" ref="AA181">Common_InputFunctions.Utility_DisplayArrayInTable(Fertiliser_SourceData.Fertiliser_Products_Data4(),FertiliserProducts[[#Headers],[Company]], 91)</f>
        <v/>
      </c>
      <c r="AB181" s="192" t="str" cm="1">
        <f t="array" ref="AB181">Common_InputFunctions.Utility_DisplayArrayInTable(Fertiliser_SourceData.Fertiliser_Products_Data4(),FertiliserProducts[[#Headers],[Company]], 91)</f>
        <v/>
      </c>
      <c r="AC181" s="192" t="str" cm="1">
        <f t="array" ref="AC181">Common_InputFunctions.Utility_DisplayArrayInTable(Fertiliser_SourceData.Fertiliser_Products_Data4(),FertiliserProducts[[#Headers],[Company]], 91)</f>
        <v/>
      </c>
      <c r="AD181" s="192" t="str" cm="1">
        <f t="array" ref="AD181">Common_InputFunctions.Utility_DisplayArrayInTable(Fertiliser_SourceData.Fertiliser_Products_Data4(),FertiliserProducts[[#Headers],[Company]], 91)</f>
        <v/>
      </c>
      <c r="AE181" s="192" t="str" cm="1">
        <f t="array" ref="AE181">Common_InputFunctions.Utility_DisplayArrayInTable(Fertiliser_SourceData.Fertiliser_Products_Data4(),FertiliserProducts[[#Headers],[Company]], 91)</f>
        <v/>
      </c>
      <c r="AF181" s="192" t="str" cm="1">
        <f t="array" ref="AF181">Common_InputFunctions.Utility_DisplayArrayInTable(Fertiliser_SourceData.Fertiliser_Products_Data4(),FertiliserProducts[[#Headers],[Company]], 91)</f>
        <v/>
      </c>
      <c r="AG181" s="192" t="str" cm="1">
        <f t="array" ref="AG181">Common_InputFunctions.Utility_DisplayArrayInTable(Fertiliser_SourceData.Fertiliser_Products_Data4(),FertiliserProducts[[#Headers],[Company]], 91)</f>
        <v/>
      </c>
      <c r="AH181" s="192" t="str" cm="1">
        <f t="array" ref="AH181">Common_InputFunctions.Utility_DisplayArrayInTable(Fertiliser_SourceData.Fertiliser_Products_Data4(),FertiliserProducts[[#Headers],[Company]], 91)</f>
        <v/>
      </c>
    </row>
    <row r="182" spans="4:37" x14ac:dyDescent="0.25">
      <c r="D182" s="192" t="str" cm="1">
        <f t="array" ref="D182">Common_InputFunctions.Utility_DisplayArrayInTable(Fertiliser_SourceData.Fertiliser_Products_Data4(),FertiliserProducts[[#Headers],[Company]], 91)</f>
        <v>Impact Fertilisers</v>
      </c>
      <c r="E182" s="192" t="str" cm="1">
        <f t="array" ref="E182">Common_InputFunctions.Utility_DisplayArrayInTable(Fertiliser_SourceData.Fertiliser_Products_Data4(),FertiliserProducts[[#Headers],[Company]], 91)</f>
        <v>Impact Super Potash 3&amp;1</v>
      </c>
      <c r="F182" s="192" t="str" cm="1">
        <f t="array" ref="F182">Common_InputFunctions.Utility_DisplayArrayInTable(Fertiliser_SourceData.Fertiliser_Products_Data4(),FertiliserProducts[[#Headers],[Company]], 91)</f>
        <v>kg</v>
      </c>
      <c r="G182" s="192" cm="1">
        <f t="array" ref="G182">Common_InputFunctions.Utility_DisplayArrayInTable(Fertiliser_SourceData.Fertiliser_Products_Data4(),FertiliserProducts[[#Headers],[Company]], 91)</f>
        <v>1</v>
      </c>
      <c r="H182" s="192" t="str" cm="1">
        <f t="array" ref="H182">Common_InputFunctions.Utility_DisplayArrayInTable(Fertiliser_SourceData.Fertiliser_Products_Data4(),FertiliserProducts[[#Headers],[Company]], 91)</f>
        <v/>
      </c>
      <c r="I182" s="192" t="str" cm="1">
        <f t="array" ref="I182">Common_InputFunctions.Utility_DisplayArrayInTable(Fertiliser_SourceData.Fertiliser_Products_Data4(),FertiliserProducts[[#Headers],[Company]], 91)</f>
        <v/>
      </c>
      <c r="J182" s="192" t="str" cm="1">
        <f t="array" ref="J182">Common_InputFunctions.Utility_DisplayArrayInTable(Fertiliser_SourceData.Fertiliser_Products_Data4(),FertiliserProducts[[#Headers],[Company]], 91)</f>
        <v/>
      </c>
      <c r="K182" s="192" t="str" cm="1">
        <f t="array" ref="K182">Common_InputFunctions.Utility_DisplayArrayInTable(Fertiliser_SourceData.Fertiliser_Products_Data4(),FertiliserProducts[[#Headers],[Company]], 91)</f>
        <v/>
      </c>
      <c r="L182" s="192" cm="1">
        <f t="array" ref="L182">Common_InputFunctions.Utility_DisplayArrayInTable(Fertiliser_SourceData.Fertiliser_Products_Data4(),FertiliserProducts[[#Headers],[Company]], 91)</f>
        <v>6.58</v>
      </c>
      <c r="M182" s="192" cm="1">
        <f t="array" ref="M182">Common_InputFunctions.Utility_DisplayArrayInTable(Fertiliser_SourceData.Fertiliser_Products_Data4(),FertiliserProducts[[#Headers],[Company]], 91)</f>
        <v>12.5</v>
      </c>
      <c r="N182" s="192" cm="1">
        <f t="array" ref="N182">Common_InputFunctions.Utility_DisplayArrayInTable(Fertiliser_SourceData.Fertiliser_Products_Data4(),FertiliserProducts[[#Headers],[Company]], 91)</f>
        <v>8.2200000000000006</v>
      </c>
      <c r="O182" s="192" t="str" cm="1">
        <f t="array" ref="O182">Common_InputFunctions.Utility_DisplayArrayInTable(Fertiliser_SourceData.Fertiliser_Products_Data4(),FertiliserProducts[[#Headers],[Company]], 91)</f>
        <v>Single superphosphate (SSP)</v>
      </c>
      <c r="P182" s="192" cm="1">
        <f t="array" ref="P182">Common_InputFunctions.Utility_DisplayArrayInTable(Fertiliser_SourceData.Fertiliser_Products_Data4(),FertiliserProducts[[#Headers],[Company]], 91)</f>
        <v>0.74736800000000003</v>
      </c>
      <c r="Q182" s="192" t="str" cm="1">
        <f t="array" ref="Q182">Common_InputFunctions.Utility_DisplayArrayInTable(Fertiliser_SourceData.Fertiliser_Products_Data4(),FertiliserProducts[[#Headers],[Company]], 91)</f>
        <v>Muriate of potash (MOP)</v>
      </c>
      <c r="R182" s="192" cm="1">
        <f t="array" ref="R182">Common_InputFunctions.Utility_DisplayArrayInTable(Fertiliser_SourceData.Fertiliser_Products_Data4(),FertiliserProducts[[#Headers],[Company]], 91)</f>
        <v>0.25</v>
      </c>
      <c r="S182" s="192" t="str" cm="1">
        <f t="array" ref="S182">Common_InputFunctions.Utility_DisplayArrayInTable(Fertiliser_SourceData.Fertiliser_Products_Data4(),FertiliserProducts[[#Headers],[Company]], 91)</f>
        <v/>
      </c>
      <c r="T182" s="192" t="str" cm="1">
        <f t="array" ref="T182">Common_InputFunctions.Utility_DisplayArrayInTable(Fertiliser_SourceData.Fertiliser_Products_Data4(),FertiliserProducts[[#Headers],[Company]], 91)</f>
        <v/>
      </c>
      <c r="U182" s="192" t="str" cm="1">
        <f t="array" ref="U182">Common_InputFunctions.Utility_DisplayArrayInTable(Fertiliser_SourceData.Fertiliser_Products_Data4(),FertiliserProducts[[#Headers],[Company]], 91)</f>
        <v/>
      </c>
      <c r="V182" s="192" t="str" cm="1">
        <f t="array" ref="V182">Common_InputFunctions.Utility_DisplayArrayInTable(Fertiliser_SourceData.Fertiliser_Products_Data4(),FertiliserProducts[[#Headers],[Company]], 91)</f>
        <v/>
      </c>
      <c r="W182" s="192" t="str" cm="1">
        <f t="array" ref="W182">Common_InputFunctions.Utility_DisplayArrayInTable(Fertiliser_SourceData.Fertiliser_Products_Data4(),FertiliserProducts[[#Headers],[Company]], 91)</f>
        <v/>
      </c>
      <c r="X182" s="192" t="str" cm="1">
        <f t="array" ref="X182">Common_InputFunctions.Utility_DisplayArrayInTable(Fertiliser_SourceData.Fertiliser_Products_Data4(),FertiliserProducts[[#Headers],[Company]], 91)</f>
        <v/>
      </c>
      <c r="Y182" s="192" t="str" cm="1">
        <f t="array" ref="Y182">Common_InputFunctions.Utility_DisplayArrayInTable(Fertiliser_SourceData.Fertiliser_Products_Data4(),FertiliserProducts[[#Headers],[Company]], 91)</f>
        <v/>
      </c>
      <c r="Z182" s="192" t="str" cm="1">
        <f t="array" ref="Z182">Common_InputFunctions.Utility_DisplayArrayInTable(Fertiliser_SourceData.Fertiliser_Products_Data4(),FertiliserProducts[[#Headers],[Company]], 91)</f>
        <v/>
      </c>
      <c r="AA182" s="192" t="str" cm="1">
        <f t="array" ref="AA182">Common_InputFunctions.Utility_DisplayArrayInTable(Fertiliser_SourceData.Fertiliser_Products_Data4(),FertiliserProducts[[#Headers],[Company]], 91)</f>
        <v/>
      </c>
      <c r="AB182" s="192" t="str" cm="1">
        <f t="array" ref="AB182">Common_InputFunctions.Utility_DisplayArrayInTable(Fertiliser_SourceData.Fertiliser_Products_Data4(),FertiliserProducts[[#Headers],[Company]], 91)</f>
        <v/>
      </c>
      <c r="AC182" s="192" t="str" cm="1">
        <f t="array" ref="AC182">Common_InputFunctions.Utility_DisplayArrayInTable(Fertiliser_SourceData.Fertiliser_Products_Data4(),FertiliserProducts[[#Headers],[Company]], 91)</f>
        <v/>
      </c>
      <c r="AD182" s="192" t="str" cm="1">
        <f t="array" ref="AD182">Common_InputFunctions.Utility_DisplayArrayInTable(Fertiliser_SourceData.Fertiliser_Products_Data4(),FertiliserProducts[[#Headers],[Company]], 91)</f>
        <v/>
      </c>
      <c r="AE182" s="192" t="str" cm="1">
        <f t="array" ref="AE182">Common_InputFunctions.Utility_DisplayArrayInTable(Fertiliser_SourceData.Fertiliser_Products_Data4(),FertiliserProducts[[#Headers],[Company]], 91)</f>
        <v/>
      </c>
      <c r="AF182" s="192" t="str" cm="1">
        <f t="array" ref="AF182">Common_InputFunctions.Utility_DisplayArrayInTable(Fertiliser_SourceData.Fertiliser_Products_Data4(),FertiliserProducts[[#Headers],[Company]], 91)</f>
        <v/>
      </c>
      <c r="AG182" s="192" t="str" cm="1">
        <f t="array" ref="AG182">Common_InputFunctions.Utility_DisplayArrayInTable(Fertiliser_SourceData.Fertiliser_Products_Data4(),FertiliserProducts[[#Headers],[Company]], 91)</f>
        <v/>
      </c>
      <c r="AH182" s="192" t="str" cm="1">
        <f t="array" ref="AH182">Common_InputFunctions.Utility_DisplayArrayInTable(Fertiliser_SourceData.Fertiliser_Products_Data4(),FertiliserProducts[[#Headers],[Company]], 91)</f>
        <v/>
      </c>
    </row>
    <row r="183" spans="4:37" x14ac:dyDescent="0.25">
      <c r="D183" s="192" t="str" cm="1">
        <f t="array" ref="D183">Common_InputFunctions.Utility_DisplayArrayInTable(Fertiliser_SourceData.Fertiliser_Products_Data4(),FertiliserProducts[[#Headers],[Company]], 91)</f>
        <v>Impact Fertilisers</v>
      </c>
      <c r="E183" s="192" t="str" cm="1">
        <f t="array" ref="E183">Common_InputFunctions.Utility_DisplayArrayInTable(Fertiliser_SourceData.Fertiliser_Products_Data4(),FertiliserProducts[[#Headers],[Company]], 91)</f>
        <v>Impact Super Potash 4&amp;1</v>
      </c>
      <c r="F183" s="192" t="str" cm="1">
        <f t="array" ref="F183">Common_InputFunctions.Utility_DisplayArrayInTable(Fertiliser_SourceData.Fertiliser_Products_Data4(),FertiliserProducts[[#Headers],[Company]], 91)</f>
        <v>kg</v>
      </c>
      <c r="G183" s="192" cm="1">
        <f t="array" ref="G183">Common_InputFunctions.Utility_DisplayArrayInTable(Fertiliser_SourceData.Fertiliser_Products_Data4(),FertiliserProducts[[#Headers],[Company]], 91)</f>
        <v>1</v>
      </c>
      <c r="H183" s="192" t="str" cm="1">
        <f t="array" ref="H183">Common_InputFunctions.Utility_DisplayArrayInTable(Fertiliser_SourceData.Fertiliser_Products_Data4(),FertiliserProducts[[#Headers],[Company]], 91)</f>
        <v/>
      </c>
      <c r="I183" s="192" t="str" cm="1">
        <f t="array" ref="I183">Common_InputFunctions.Utility_DisplayArrayInTable(Fertiliser_SourceData.Fertiliser_Products_Data4(),FertiliserProducts[[#Headers],[Company]], 91)</f>
        <v/>
      </c>
      <c r="J183" s="192" t="str" cm="1">
        <f t="array" ref="J183">Common_InputFunctions.Utility_DisplayArrayInTable(Fertiliser_SourceData.Fertiliser_Products_Data4(),FertiliserProducts[[#Headers],[Company]], 91)</f>
        <v/>
      </c>
      <c r="K183" s="192" t="str" cm="1">
        <f t="array" ref="K183">Common_InputFunctions.Utility_DisplayArrayInTable(Fertiliser_SourceData.Fertiliser_Products_Data4(),FertiliserProducts[[#Headers],[Company]], 91)</f>
        <v/>
      </c>
      <c r="L183" s="192" cm="1">
        <f t="array" ref="L183">Common_InputFunctions.Utility_DisplayArrayInTable(Fertiliser_SourceData.Fertiliser_Products_Data4(),FertiliserProducts[[#Headers],[Company]], 91)</f>
        <v>7.04</v>
      </c>
      <c r="M183" s="192" cm="1">
        <f t="array" ref="M183">Common_InputFunctions.Utility_DisplayArrayInTable(Fertiliser_SourceData.Fertiliser_Products_Data4(),FertiliserProducts[[#Headers],[Company]], 91)</f>
        <v>10</v>
      </c>
      <c r="N183" s="192" cm="1">
        <f t="array" ref="N183">Common_InputFunctions.Utility_DisplayArrayInTable(Fertiliser_SourceData.Fertiliser_Products_Data4(),FertiliserProducts[[#Headers],[Company]], 91)</f>
        <v>8.8000000000000007</v>
      </c>
      <c r="O183" s="192" t="str" cm="1">
        <f t="array" ref="O183">Common_InputFunctions.Utility_DisplayArrayInTable(Fertiliser_SourceData.Fertiliser_Products_Data4(),FertiliserProducts[[#Headers],[Company]], 91)</f>
        <v>Single superphosphate (SSP)</v>
      </c>
      <c r="P183" s="192" cm="1">
        <f t="array" ref="P183">Common_InputFunctions.Utility_DisplayArrayInTable(Fertiliser_SourceData.Fertiliser_Products_Data4(),FertiliserProducts[[#Headers],[Company]], 91)</f>
        <v>0.8</v>
      </c>
      <c r="Q183" s="192" t="str" cm="1">
        <f t="array" ref="Q183">Common_InputFunctions.Utility_DisplayArrayInTable(Fertiliser_SourceData.Fertiliser_Products_Data4(),FertiliserProducts[[#Headers],[Company]], 91)</f>
        <v>Muriate of potash (MOP)</v>
      </c>
      <c r="R183" s="192" cm="1">
        <f t="array" ref="R183">Common_InputFunctions.Utility_DisplayArrayInTable(Fertiliser_SourceData.Fertiliser_Products_Data4(),FertiliserProducts[[#Headers],[Company]], 91)</f>
        <v>0.2</v>
      </c>
      <c r="S183" s="192" t="str" cm="1">
        <f t="array" ref="S183">Common_InputFunctions.Utility_DisplayArrayInTable(Fertiliser_SourceData.Fertiliser_Products_Data4(),FertiliserProducts[[#Headers],[Company]], 91)</f>
        <v/>
      </c>
      <c r="T183" s="192" t="str" cm="1">
        <f t="array" ref="T183">Common_InputFunctions.Utility_DisplayArrayInTable(Fertiliser_SourceData.Fertiliser_Products_Data4(),FertiliserProducts[[#Headers],[Company]], 91)</f>
        <v/>
      </c>
      <c r="U183" s="192" t="str" cm="1">
        <f t="array" ref="U183">Common_InputFunctions.Utility_DisplayArrayInTable(Fertiliser_SourceData.Fertiliser_Products_Data4(),FertiliserProducts[[#Headers],[Company]], 91)</f>
        <v/>
      </c>
      <c r="V183" s="192" t="str" cm="1">
        <f t="array" ref="V183">Common_InputFunctions.Utility_DisplayArrayInTable(Fertiliser_SourceData.Fertiliser_Products_Data4(),FertiliserProducts[[#Headers],[Company]], 91)</f>
        <v/>
      </c>
      <c r="W183" s="192" t="str" cm="1">
        <f t="array" ref="W183">Common_InputFunctions.Utility_DisplayArrayInTable(Fertiliser_SourceData.Fertiliser_Products_Data4(),FertiliserProducts[[#Headers],[Company]], 91)</f>
        <v/>
      </c>
      <c r="X183" s="192" t="str" cm="1">
        <f t="array" ref="X183">Common_InputFunctions.Utility_DisplayArrayInTable(Fertiliser_SourceData.Fertiliser_Products_Data4(),FertiliserProducts[[#Headers],[Company]], 91)</f>
        <v/>
      </c>
      <c r="Y183" s="192" t="str" cm="1">
        <f t="array" ref="Y183">Common_InputFunctions.Utility_DisplayArrayInTable(Fertiliser_SourceData.Fertiliser_Products_Data4(),FertiliserProducts[[#Headers],[Company]], 91)</f>
        <v/>
      </c>
      <c r="Z183" s="192" t="str" cm="1">
        <f t="array" ref="Z183">Common_InputFunctions.Utility_DisplayArrayInTable(Fertiliser_SourceData.Fertiliser_Products_Data4(),FertiliserProducts[[#Headers],[Company]], 91)</f>
        <v/>
      </c>
      <c r="AA183" s="192" t="str" cm="1">
        <f t="array" ref="AA183">Common_InputFunctions.Utility_DisplayArrayInTable(Fertiliser_SourceData.Fertiliser_Products_Data4(),FertiliserProducts[[#Headers],[Company]], 91)</f>
        <v/>
      </c>
      <c r="AB183" s="192" t="str" cm="1">
        <f t="array" ref="AB183">Common_InputFunctions.Utility_DisplayArrayInTable(Fertiliser_SourceData.Fertiliser_Products_Data4(),FertiliserProducts[[#Headers],[Company]], 91)</f>
        <v/>
      </c>
      <c r="AC183" s="192" t="str" cm="1">
        <f t="array" ref="AC183">Common_InputFunctions.Utility_DisplayArrayInTable(Fertiliser_SourceData.Fertiliser_Products_Data4(),FertiliserProducts[[#Headers],[Company]], 91)</f>
        <v/>
      </c>
      <c r="AD183" s="192" t="str" cm="1">
        <f t="array" ref="AD183">Common_InputFunctions.Utility_DisplayArrayInTable(Fertiliser_SourceData.Fertiliser_Products_Data4(),FertiliserProducts[[#Headers],[Company]], 91)</f>
        <v/>
      </c>
      <c r="AE183" s="192" t="str" cm="1">
        <f t="array" ref="AE183">Common_InputFunctions.Utility_DisplayArrayInTable(Fertiliser_SourceData.Fertiliser_Products_Data4(),FertiliserProducts[[#Headers],[Company]], 91)</f>
        <v/>
      </c>
      <c r="AF183" s="192" t="str" cm="1">
        <f t="array" ref="AF183">Common_InputFunctions.Utility_DisplayArrayInTable(Fertiliser_SourceData.Fertiliser_Products_Data4(),FertiliserProducts[[#Headers],[Company]], 91)</f>
        <v/>
      </c>
      <c r="AG183" s="192" t="str" cm="1">
        <f t="array" ref="AG183">Common_InputFunctions.Utility_DisplayArrayInTable(Fertiliser_SourceData.Fertiliser_Products_Data4(),FertiliserProducts[[#Headers],[Company]], 91)</f>
        <v/>
      </c>
      <c r="AH183" s="192" t="str" cm="1">
        <f t="array" ref="AH183">Common_InputFunctions.Utility_DisplayArrayInTable(Fertiliser_SourceData.Fertiliser_Products_Data4(),FertiliserProducts[[#Headers],[Company]], 91)</f>
        <v/>
      </c>
    </row>
    <row r="184" spans="4:37" x14ac:dyDescent="0.25">
      <c r="D184" s="192" t="str" cm="1">
        <f t="array" ref="D184">Common_InputFunctions.Utility_DisplayArrayInTable(Fertiliser_SourceData.Fertiliser_Products_Data4(),FertiliserProducts[[#Headers],[Company]], 91)</f>
        <v>Impact Fertilisers</v>
      </c>
      <c r="E184" s="192" t="str" cm="1">
        <f t="array" ref="E184">Common_InputFunctions.Utility_DisplayArrayInTable(Fertiliser_SourceData.Fertiliser_Products_Data4(),FertiliserProducts[[#Headers],[Company]], 91)</f>
        <v>Impact Super Potash 5&amp;1</v>
      </c>
      <c r="F184" s="192" t="str" cm="1">
        <f t="array" ref="F184">Common_InputFunctions.Utility_DisplayArrayInTable(Fertiliser_SourceData.Fertiliser_Products_Data4(),FertiliserProducts[[#Headers],[Company]], 91)</f>
        <v>kg</v>
      </c>
      <c r="G184" s="192" cm="1">
        <f t="array" ref="G184">Common_InputFunctions.Utility_DisplayArrayInTable(Fertiliser_SourceData.Fertiliser_Products_Data4(),FertiliserProducts[[#Headers],[Company]], 91)</f>
        <v>1</v>
      </c>
      <c r="H184" s="192" t="str" cm="1">
        <f t="array" ref="H184">Common_InputFunctions.Utility_DisplayArrayInTable(Fertiliser_SourceData.Fertiliser_Products_Data4(),FertiliserProducts[[#Headers],[Company]], 91)</f>
        <v/>
      </c>
      <c r="I184" s="192" t="str" cm="1">
        <f t="array" ref="I184">Common_InputFunctions.Utility_DisplayArrayInTable(Fertiliser_SourceData.Fertiliser_Products_Data4(),FertiliserProducts[[#Headers],[Company]], 91)</f>
        <v/>
      </c>
      <c r="J184" s="192" t="str" cm="1">
        <f t="array" ref="J184">Common_InputFunctions.Utility_DisplayArrayInTable(Fertiliser_SourceData.Fertiliser_Products_Data4(),FertiliserProducts[[#Headers],[Company]], 91)</f>
        <v/>
      </c>
      <c r="K184" s="192" t="str" cm="1">
        <f t="array" ref="K184">Common_InputFunctions.Utility_DisplayArrayInTable(Fertiliser_SourceData.Fertiliser_Products_Data4(),FertiliserProducts[[#Headers],[Company]], 91)</f>
        <v/>
      </c>
      <c r="L184" s="192" cm="1">
        <f t="array" ref="L184">Common_InputFunctions.Utility_DisplayArrayInTable(Fertiliser_SourceData.Fertiliser_Products_Data4(),FertiliserProducts[[#Headers],[Company]], 91)</f>
        <v>7.32</v>
      </c>
      <c r="M184" s="192" cm="1">
        <f t="array" ref="M184">Common_InputFunctions.Utility_DisplayArrayInTable(Fertiliser_SourceData.Fertiliser_Products_Data4(),FertiliserProducts[[#Headers],[Company]], 91)</f>
        <v>8.4</v>
      </c>
      <c r="N184" s="192" cm="1">
        <f t="array" ref="N184">Common_InputFunctions.Utility_DisplayArrayInTable(Fertiliser_SourceData.Fertiliser_Products_Data4(),FertiliserProducts[[#Headers],[Company]], 91)</f>
        <v>9.15</v>
      </c>
      <c r="O184" s="192" t="str" cm="1">
        <f t="array" ref="O184">Common_InputFunctions.Utility_DisplayArrayInTable(Fertiliser_SourceData.Fertiliser_Products_Data4(),FertiliserProducts[[#Headers],[Company]], 91)</f>
        <v>Single superphosphate (SSP)</v>
      </c>
      <c r="P184" s="192" cm="1">
        <f t="array" ref="P184">Common_InputFunctions.Utility_DisplayArrayInTable(Fertiliser_SourceData.Fertiliser_Products_Data4(),FertiliserProducts[[#Headers],[Company]], 91)</f>
        <v>0.83157899999999996</v>
      </c>
      <c r="Q184" s="192" t="str" cm="1">
        <f t="array" ref="Q184">Common_InputFunctions.Utility_DisplayArrayInTable(Fertiliser_SourceData.Fertiliser_Products_Data4(),FertiliserProducts[[#Headers],[Company]], 91)</f>
        <v>Muriate of potash (MOP)</v>
      </c>
      <c r="R184" s="192" cm="1">
        <f t="array" ref="R184">Common_InputFunctions.Utility_DisplayArrayInTable(Fertiliser_SourceData.Fertiliser_Products_Data4(),FertiliserProducts[[#Headers],[Company]], 91)</f>
        <v>0.16800000000000001</v>
      </c>
      <c r="S184" s="192" t="str" cm="1">
        <f t="array" ref="S184">Common_InputFunctions.Utility_DisplayArrayInTable(Fertiliser_SourceData.Fertiliser_Products_Data4(),FertiliserProducts[[#Headers],[Company]], 91)</f>
        <v/>
      </c>
      <c r="T184" s="192" t="str" cm="1">
        <f t="array" ref="T184">Common_InputFunctions.Utility_DisplayArrayInTable(Fertiliser_SourceData.Fertiliser_Products_Data4(),FertiliserProducts[[#Headers],[Company]], 91)</f>
        <v/>
      </c>
      <c r="U184" s="192" t="str" cm="1">
        <f t="array" ref="U184">Common_InputFunctions.Utility_DisplayArrayInTable(Fertiliser_SourceData.Fertiliser_Products_Data4(),FertiliserProducts[[#Headers],[Company]], 91)</f>
        <v/>
      </c>
      <c r="V184" s="192" t="str" cm="1">
        <f t="array" ref="V184">Common_InputFunctions.Utility_DisplayArrayInTable(Fertiliser_SourceData.Fertiliser_Products_Data4(),FertiliserProducts[[#Headers],[Company]], 91)</f>
        <v/>
      </c>
      <c r="W184" s="192" t="str" cm="1">
        <f t="array" ref="W184">Common_InputFunctions.Utility_DisplayArrayInTable(Fertiliser_SourceData.Fertiliser_Products_Data4(),FertiliserProducts[[#Headers],[Company]], 91)</f>
        <v/>
      </c>
      <c r="X184" s="192" t="str" cm="1">
        <f t="array" ref="X184">Common_InputFunctions.Utility_DisplayArrayInTable(Fertiliser_SourceData.Fertiliser_Products_Data4(),FertiliserProducts[[#Headers],[Company]], 91)</f>
        <v/>
      </c>
      <c r="Y184" s="192" t="str" cm="1">
        <f t="array" ref="Y184">Common_InputFunctions.Utility_DisplayArrayInTable(Fertiliser_SourceData.Fertiliser_Products_Data4(),FertiliserProducts[[#Headers],[Company]], 91)</f>
        <v/>
      </c>
      <c r="Z184" s="192" t="str" cm="1">
        <f t="array" ref="Z184">Common_InputFunctions.Utility_DisplayArrayInTable(Fertiliser_SourceData.Fertiliser_Products_Data4(),FertiliserProducts[[#Headers],[Company]], 91)</f>
        <v/>
      </c>
      <c r="AA184" s="192" t="str" cm="1">
        <f t="array" ref="AA184">Common_InputFunctions.Utility_DisplayArrayInTable(Fertiliser_SourceData.Fertiliser_Products_Data4(),FertiliserProducts[[#Headers],[Company]], 91)</f>
        <v/>
      </c>
      <c r="AB184" s="192" t="str" cm="1">
        <f t="array" ref="AB184">Common_InputFunctions.Utility_DisplayArrayInTable(Fertiliser_SourceData.Fertiliser_Products_Data4(),FertiliserProducts[[#Headers],[Company]], 91)</f>
        <v/>
      </c>
      <c r="AC184" s="192" t="str" cm="1">
        <f t="array" ref="AC184">Common_InputFunctions.Utility_DisplayArrayInTable(Fertiliser_SourceData.Fertiliser_Products_Data4(),FertiliserProducts[[#Headers],[Company]], 91)</f>
        <v/>
      </c>
      <c r="AD184" s="192" t="str" cm="1">
        <f t="array" ref="AD184">Common_InputFunctions.Utility_DisplayArrayInTable(Fertiliser_SourceData.Fertiliser_Products_Data4(),FertiliserProducts[[#Headers],[Company]], 91)</f>
        <v/>
      </c>
      <c r="AE184" s="192" t="str" cm="1">
        <f t="array" ref="AE184">Common_InputFunctions.Utility_DisplayArrayInTable(Fertiliser_SourceData.Fertiliser_Products_Data4(),FertiliserProducts[[#Headers],[Company]], 91)</f>
        <v/>
      </c>
      <c r="AF184" s="192" t="str" cm="1">
        <f t="array" ref="AF184">Common_InputFunctions.Utility_DisplayArrayInTable(Fertiliser_SourceData.Fertiliser_Products_Data4(),FertiliserProducts[[#Headers],[Company]], 91)</f>
        <v/>
      </c>
      <c r="AG184" s="192" t="str" cm="1">
        <f t="array" ref="AG184">Common_InputFunctions.Utility_DisplayArrayInTable(Fertiliser_SourceData.Fertiliser_Products_Data4(),FertiliserProducts[[#Headers],[Company]], 91)</f>
        <v/>
      </c>
      <c r="AH184" s="192" t="str" cm="1">
        <f t="array" ref="AH184">Common_InputFunctions.Utility_DisplayArrayInTable(Fertiliser_SourceData.Fertiliser_Products_Data4(),FertiliserProducts[[#Headers],[Company]], 91)</f>
        <v/>
      </c>
    </row>
    <row r="185" spans="4:37" x14ac:dyDescent="0.25">
      <c r="D185" s="192" t="str" cm="1">
        <f t="array" ref="D185">Common_InputFunctions.Utility_DisplayArrayInTable(Fertiliser_SourceData.Fertiliser_Products_Data4(),FertiliserProducts[[#Headers],[Company]], 91)</f>
        <v>Pacific Fertiliser / Incitec Pivot Fertilisers</v>
      </c>
      <c r="E185" s="192" t="str" cm="1">
        <f t="array" ref="E185">Common_InputFunctions.Utility_DisplayArrayInTable(Fertiliser_SourceData.Fertiliser_Products_Data4(),FertiliserProducts[[#Headers],[Company]], 91)</f>
        <v>Cal-Gran</v>
      </c>
      <c r="F185" s="192" t="str" cm="1">
        <f t="array" ref="F185">Common_InputFunctions.Utility_DisplayArrayInTable(Fertiliser_SourceData.Fertiliser_Products_Data4(),FertiliserProducts[[#Headers],[Company]], 91)</f>
        <v>kg</v>
      </c>
      <c r="G185" s="192" cm="1">
        <f t="array" ref="G185">Common_InputFunctions.Utility_DisplayArrayInTable(Fertiliser_SourceData.Fertiliser_Products_Data4(),FertiliserProducts[[#Headers],[Company]], 91)</f>
        <v>1</v>
      </c>
      <c r="H185" s="192" t="str" cm="1">
        <f t="array" ref="H185">Common_InputFunctions.Utility_DisplayArrayInTable(Fertiliser_SourceData.Fertiliser_Products_Data4(),FertiliserProducts[[#Headers],[Company]], 91)</f>
        <v/>
      </c>
      <c r="I185" s="192" t="str" cm="1">
        <f t="array" ref="I185">Common_InputFunctions.Utility_DisplayArrayInTable(Fertiliser_SourceData.Fertiliser_Products_Data4(),FertiliserProducts[[#Headers],[Company]], 91)</f>
        <v/>
      </c>
      <c r="J185" s="192" t="str" cm="1">
        <f t="array" ref="J185">Common_InputFunctions.Utility_DisplayArrayInTable(Fertiliser_SourceData.Fertiliser_Products_Data4(),FertiliserProducts[[#Headers],[Company]], 91)</f>
        <v/>
      </c>
      <c r="K185" s="192" cm="1">
        <f t="array" ref="K185">Common_InputFunctions.Utility_DisplayArrayInTable(Fertiliser_SourceData.Fertiliser_Products_Data4(),FertiliserProducts[[#Headers],[Company]], 91)</f>
        <v>23.9</v>
      </c>
      <c r="L185" s="192" t="str" cm="1">
        <f t="array" ref="L185">Common_InputFunctions.Utility_DisplayArrayInTable(Fertiliser_SourceData.Fertiliser_Products_Data4(),FertiliserProducts[[#Headers],[Company]], 91)</f>
        <v/>
      </c>
      <c r="M185" s="192" t="str" cm="1">
        <f t="array" ref="M185">Common_InputFunctions.Utility_DisplayArrayInTable(Fertiliser_SourceData.Fertiliser_Products_Data4(),FertiliserProducts[[#Headers],[Company]], 91)</f>
        <v/>
      </c>
      <c r="N185" s="192" cm="1">
        <f t="array" ref="N185">Common_InputFunctions.Utility_DisplayArrayInTable(Fertiliser_SourceData.Fertiliser_Products_Data4(),FertiliserProducts[[#Headers],[Company]], 91)</f>
        <v>10.8</v>
      </c>
      <c r="O185" s="192" t="str" cm="1">
        <f t="array" ref="O185">Common_InputFunctions.Utility_DisplayArrayInTable(Fertiliser_SourceData.Fertiliser_Products_Data4(),FertiliserProducts[[#Headers],[Company]], 91)</f>
        <v>Nitrogen - Nitrate</v>
      </c>
      <c r="P185" s="192" cm="1">
        <f t="array" ref="P185">Common_InputFunctions.Utility_DisplayArrayInTable(Fertiliser_SourceData.Fertiliser_Products_Data4(),FertiliserProducts[[#Headers],[Company]], 91)</f>
        <v>7.3999999999999996E-2</v>
      </c>
      <c r="Q185" s="192" t="str" cm="1">
        <f t="array" ref="Q185">Common_InputFunctions.Utility_DisplayArrayInTable(Fertiliser_SourceData.Fertiliser_Products_Data4(),FertiliserProducts[[#Headers],[Company]], 91)</f>
        <v>Nitrogen - Ammoniacal</v>
      </c>
      <c r="R185" s="192" cm="1">
        <f t="array" ref="R185">Common_InputFunctions.Utility_DisplayArrayInTable(Fertiliser_SourceData.Fertiliser_Products_Data4(),FertiliserProducts[[#Headers],[Company]], 91)</f>
        <v>0.16500000000000001</v>
      </c>
      <c r="S185" s="192" t="str" cm="1">
        <f t="array" ref="S185">Common_InputFunctions.Utility_DisplayArrayInTable(Fertiliser_SourceData.Fertiliser_Products_Data4(),FertiliserProducts[[#Headers],[Company]], 91)</f>
        <v>Sulfur - Generic</v>
      </c>
      <c r="T185" s="192" cm="1">
        <f t="array" ref="T185">Common_InputFunctions.Utility_DisplayArrayInTable(Fertiliser_SourceData.Fertiliser_Products_Data4(),FertiliserProducts[[#Headers],[Company]], 91)</f>
        <v>0.108</v>
      </c>
      <c r="U185" s="192" t="str" cm="1">
        <f t="array" ref="U185">Common_InputFunctions.Utility_DisplayArrayInTable(Fertiliser_SourceData.Fertiliser_Products_Data4(),FertiliserProducts[[#Headers],[Company]], 91)</f>
        <v>Calcium</v>
      </c>
      <c r="V185" s="192" cm="1">
        <f t="array" ref="V185">Common_InputFunctions.Utility_DisplayArrayInTable(Fertiliser_SourceData.Fertiliser_Products_Data4(),FertiliserProducts[[#Headers],[Company]], 91)</f>
        <v>4.3999999999999997E-2</v>
      </c>
      <c r="W185" s="192" t="str" cm="1">
        <f t="array" ref="W185">Common_InputFunctions.Utility_DisplayArrayInTable(Fertiliser_SourceData.Fertiliser_Products_Data4(),FertiliserProducts[[#Headers],[Company]], 91)</f>
        <v/>
      </c>
      <c r="X185" s="192" t="str" cm="1">
        <f t="array" ref="X185">Common_InputFunctions.Utility_DisplayArrayInTable(Fertiliser_SourceData.Fertiliser_Products_Data4(),FertiliserProducts[[#Headers],[Company]], 91)</f>
        <v/>
      </c>
      <c r="Y185" s="192" t="str" cm="1">
        <f t="array" ref="Y185">Common_InputFunctions.Utility_DisplayArrayInTable(Fertiliser_SourceData.Fertiliser_Products_Data4(),FertiliserProducts[[#Headers],[Company]], 91)</f>
        <v/>
      </c>
      <c r="Z185" s="192" t="str" cm="1">
        <f t="array" ref="Z185">Common_InputFunctions.Utility_DisplayArrayInTable(Fertiliser_SourceData.Fertiliser_Products_Data4(),FertiliserProducts[[#Headers],[Company]], 91)</f>
        <v/>
      </c>
      <c r="AA185" s="192" t="str" cm="1">
        <f t="array" ref="AA185">Common_InputFunctions.Utility_DisplayArrayInTable(Fertiliser_SourceData.Fertiliser_Products_Data4(),FertiliserProducts[[#Headers],[Company]], 91)</f>
        <v/>
      </c>
      <c r="AB185" s="192" t="str" cm="1">
        <f t="array" ref="AB185">Common_InputFunctions.Utility_DisplayArrayInTable(Fertiliser_SourceData.Fertiliser_Products_Data4(),FertiliserProducts[[#Headers],[Company]], 91)</f>
        <v/>
      </c>
      <c r="AC185" s="192" t="str" cm="1">
        <f t="array" ref="AC185">Common_InputFunctions.Utility_DisplayArrayInTable(Fertiliser_SourceData.Fertiliser_Products_Data4(),FertiliserProducts[[#Headers],[Company]], 91)</f>
        <v/>
      </c>
      <c r="AD185" s="192" t="str" cm="1">
        <f t="array" ref="AD185">Common_InputFunctions.Utility_DisplayArrayInTable(Fertiliser_SourceData.Fertiliser_Products_Data4(),FertiliserProducts[[#Headers],[Company]], 91)</f>
        <v/>
      </c>
      <c r="AE185" s="192" t="str" cm="1">
        <f t="array" ref="AE185">Common_InputFunctions.Utility_DisplayArrayInTable(Fertiliser_SourceData.Fertiliser_Products_Data4(),FertiliserProducts[[#Headers],[Company]], 91)</f>
        <v/>
      </c>
      <c r="AF185" s="192" t="str" cm="1">
        <f t="array" ref="AF185">Common_InputFunctions.Utility_DisplayArrayInTable(Fertiliser_SourceData.Fertiliser_Products_Data4(),FertiliserProducts[[#Headers],[Company]], 91)</f>
        <v/>
      </c>
      <c r="AG185" s="192" t="str" cm="1">
        <f t="array" ref="AG185">Common_InputFunctions.Utility_DisplayArrayInTable(Fertiliser_SourceData.Fertiliser_Products_Data4(),FertiliserProducts[[#Headers],[Company]], 91)</f>
        <v/>
      </c>
      <c r="AH185" s="192" t="str" cm="1">
        <f t="array" ref="AH185">Common_InputFunctions.Utility_DisplayArrayInTable(Fertiliser_SourceData.Fertiliser_Products_Data4(),FertiliserProducts[[#Headers],[Company]], 91)</f>
        <v/>
      </c>
    </row>
    <row r="186" spans="4:37" x14ac:dyDescent="0.25">
      <c r="D186" s="192" t="str" cm="1">
        <f t="array" ref="D186">Common_InputFunctions.Utility_DisplayArrayInTable(Fertiliser_SourceData.Fertiliser_Products_Data4(),FertiliserProducts[[#Headers],[Company]], 91)</f>
        <v>Pacific Fertiliser / Incitec Pivot Fertilisers</v>
      </c>
      <c r="E186" s="192" t="str" cm="1">
        <f t="array" ref="E186">Common_InputFunctions.Utility_DisplayArrayInTable(Fertiliser_SourceData.Fertiliser_Products_Data4(),FertiliserProducts[[#Headers],[Company]], 91)</f>
        <v>Cal-Gran 50/50</v>
      </c>
      <c r="F186" s="192" t="str" cm="1">
        <f t="array" ref="F186">Common_InputFunctions.Utility_DisplayArrayInTable(Fertiliser_SourceData.Fertiliser_Products_Data4(),FertiliserProducts[[#Headers],[Company]], 91)</f>
        <v>kg</v>
      </c>
      <c r="G186" s="192" cm="1">
        <f t="array" ref="G186">Common_InputFunctions.Utility_DisplayArrayInTable(Fertiliser_SourceData.Fertiliser_Products_Data4(),FertiliserProducts[[#Headers],[Company]], 91)</f>
        <v>1</v>
      </c>
      <c r="H186" s="192" t="str" cm="1">
        <f t="array" ref="H186">Common_InputFunctions.Utility_DisplayArrayInTable(Fertiliser_SourceData.Fertiliser_Products_Data4(),FertiliserProducts[[#Headers],[Company]], 91)</f>
        <v/>
      </c>
      <c r="I186" s="192" t="str" cm="1">
        <f t="array" ref="I186">Common_InputFunctions.Utility_DisplayArrayInTable(Fertiliser_SourceData.Fertiliser_Products_Data4(),FertiliserProducts[[#Headers],[Company]], 91)</f>
        <v/>
      </c>
      <c r="J186" s="192" t="str" cm="1">
        <f t="array" ref="J186">Common_InputFunctions.Utility_DisplayArrayInTable(Fertiliser_SourceData.Fertiliser_Products_Data4(),FertiliserProducts[[#Headers],[Company]], 91)</f>
        <v/>
      </c>
      <c r="K186" s="192" cm="1">
        <f t="array" ref="K186">Common_InputFunctions.Utility_DisplayArrayInTable(Fertiliser_SourceData.Fertiliser_Products_Data4(),FertiliserProducts[[#Headers],[Company]], 91)</f>
        <v>17.899999999999999</v>
      </c>
      <c r="L186" s="192" t="str" cm="1">
        <f t="array" ref="L186">Common_InputFunctions.Utility_DisplayArrayInTable(Fertiliser_SourceData.Fertiliser_Products_Data4(),FertiliserProducts[[#Headers],[Company]], 91)</f>
        <v/>
      </c>
      <c r="M186" s="192" cm="1">
        <f t="array" ref="M186">Common_InputFunctions.Utility_DisplayArrayInTable(Fertiliser_SourceData.Fertiliser_Products_Data4(),FertiliserProducts[[#Headers],[Company]], 91)</f>
        <v>15</v>
      </c>
      <c r="N186" s="192" cm="1">
        <f t="array" ref="N186">Common_InputFunctions.Utility_DisplayArrayInTable(Fertiliser_SourceData.Fertiliser_Products_Data4(),FertiliserProducts[[#Headers],[Company]], 91)</f>
        <v>3.6</v>
      </c>
      <c r="O186" s="192" t="str" cm="1">
        <f t="array" ref="O186">Common_InputFunctions.Utility_DisplayArrayInTable(Fertiliser_SourceData.Fertiliser_Products_Data4(),FertiliserProducts[[#Headers],[Company]], 91)</f>
        <v>Nitrogen - Nitrate</v>
      </c>
      <c r="P186" s="192" cm="1">
        <f t="array" ref="P186">Common_InputFunctions.Utility_DisplayArrayInTable(Fertiliser_SourceData.Fertiliser_Products_Data4(),FertiliserProducts[[#Headers],[Company]], 91)</f>
        <v>5.5E-2</v>
      </c>
      <c r="Q186" s="192" t="str" cm="1">
        <f t="array" ref="Q186">Common_InputFunctions.Utility_DisplayArrayInTable(Fertiliser_SourceData.Fertiliser_Products_Data4(),FertiliserProducts[[#Headers],[Company]], 91)</f>
        <v>Nitrogen - Ammoniacal</v>
      </c>
      <c r="R186" s="192" cm="1">
        <f t="array" ref="R186">Common_InputFunctions.Utility_DisplayArrayInTable(Fertiliser_SourceData.Fertiliser_Products_Data4(),FertiliserProducts[[#Headers],[Company]], 91)</f>
        <v>0.124</v>
      </c>
      <c r="S186" s="192" t="str" cm="1">
        <f t="array" ref="S186">Common_InputFunctions.Utility_DisplayArrayInTable(Fertiliser_SourceData.Fertiliser_Products_Data4(),FertiliserProducts[[#Headers],[Company]], 91)</f>
        <v>Potassium - Generic</v>
      </c>
      <c r="T186" s="192" cm="1">
        <f t="array" ref="T186">Common_InputFunctions.Utility_DisplayArrayInTable(Fertiliser_SourceData.Fertiliser_Products_Data4(),FertiliserProducts[[#Headers],[Company]], 91)</f>
        <v>0.15</v>
      </c>
      <c r="U186" s="192" t="str" cm="1">
        <f t="array" ref="U186">Common_InputFunctions.Utility_DisplayArrayInTable(Fertiliser_SourceData.Fertiliser_Products_Data4(),FertiliserProducts[[#Headers],[Company]], 91)</f>
        <v>Sulfur - Generic</v>
      </c>
      <c r="V186" s="192" cm="1">
        <f t="array" ref="V186">Common_InputFunctions.Utility_DisplayArrayInTable(Fertiliser_SourceData.Fertiliser_Products_Data4(),FertiliserProducts[[#Headers],[Company]], 91)</f>
        <v>3.5999999999999997E-2</v>
      </c>
      <c r="W186" s="192" t="str" cm="1">
        <f t="array" ref="W186">Common_InputFunctions.Utility_DisplayArrayInTable(Fertiliser_SourceData.Fertiliser_Products_Data4(),FertiliserProducts[[#Headers],[Company]], 91)</f>
        <v>Calcium</v>
      </c>
      <c r="X186" s="192" cm="1">
        <f t="array" ref="X186">Common_InputFunctions.Utility_DisplayArrayInTable(Fertiliser_SourceData.Fertiliser_Products_Data4(),FertiliserProducts[[#Headers],[Company]], 91)</f>
        <v>4.3999999999999997E-2</v>
      </c>
      <c r="Y186" s="192" t="str" cm="1">
        <f t="array" ref="Y186">Common_InputFunctions.Utility_DisplayArrayInTable(Fertiliser_SourceData.Fertiliser_Products_Data4(),FertiliserProducts[[#Headers],[Company]], 91)</f>
        <v/>
      </c>
      <c r="Z186" s="192" t="str" cm="1">
        <f t="array" ref="Z186">Common_InputFunctions.Utility_DisplayArrayInTable(Fertiliser_SourceData.Fertiliser_Products_Data4(),FertiliserProducts[[#Headers],[Company]], 91)</f>
        <v/>
      </c>
      <c r="AA186" s="192" t="str" cm="1">
        <f t="array" ref="AA186">Common_InputFunctions.Utility_DisplayArrayInTable(Fertiliser_SourceData.Fertiliser_Products_Data4(),FertiliserProducts[[#Headers],[Company]], 91)</f>
        <v/>
      </c>
      <c r="AB186" s="192" t="str" cm="1">
        <f t="array" ref="AB186">Common_InputFunctions.Utility_DisplayArrayInTable(Fertiliser_SourceData.Fertiliser_Products_Data4(),FertiliserProducts[[#Headers],[Company]], 91)</f>
        <v/>
      </c>
      <c r="AC186" s="192" t="str" cm="1">
        <f t="array" ref="AC186">Common_InputFunctions.Utility_DisplayArrayInTable(Fertiliser_SourceData.Fertiliser_Products_Data4(),FertiliserProducts[[#Headers],[Company]], 91)</f>
        <v/>
      </c>
      <c r="AD186" s="192" t="str" cm="1">
        <f t="array" ref="AD186">Common_InputFunctions.Utility_DisplayArrayInTable(Fertiliser_SourceData.Fertiliser_Products_Data4(),FertiliserProducts[[#Headers],[Company]], 91)</f>
        <v/>
      </c>
      <c r="AE186" s="192" t="str" cm="1">
        <f t="array" ref="AE186">Common_InputFunctions.Utility_DisplayArrayInTable(Fertiliser_SourceData.Fertiliser_Products_Data4(),FertiliserProducts[[#Headers],[Company]], 91)</f>
        <v/>
      </c>
      <c r="AF186" s="192" t="str" cm="1">
        <f t="array" ref="AF186">Common_InputFunctions.Utility_DisplayArrayInTable(Fertiliser_SourceData.Fertiliser_Products_Data4(),FertiliserProducts[[#Headers],[Company]], 91)</f>
        <v/>
      </c>
      <c r="AG186" s="192" t="str" cm="1">
        <f t="array" ref="AG186">Common_InputFunctions.Utility_DisplayArrayInTable(Fertiliser_SourceData.Fertiliser_Products_Data4(),FertiliserProducts[[#Headers],[Company]], 91)</f>
        <v/>
      </c>
      <c r="AH186" s="192" t="str" cm="1">
        <f t="array" ref="AH186">Common_InputFunctions.Utility_DisplayArrayInTable(Fertiliser_SourceData.Fertiliser_Products_Data4(),FertiliserProducts[[#Headers],[Company]], 91)</f>
        <v/>
      </c>
    </row>
    <row r="187" spans="4:37" x14ac:dyDescent="0.25">
      <c r="D187" s="192" t="str" cm="1">
        <f t="array" ref="D187">Common_InputFunctions.Utility_DisplayArrayInTable(Fertiliser_SourceData.Fertiliser_Products_Data4(),FertiliserProducts[[#Headers],[Company]], 91)</f>
        <v>Pacific Fertiliser / Incitec Pivot Fertilisers</v>
      </c>
      <c r="E187" s="192" t="str" cm="1">
        <f t="array" ref="E187">Common_InputFunctions.Utility_DisplayArrayInTable(Fertiliser_SourceData.Fertiliser_Products_Data4(),FertiliserProducts[[#Headers],[Company]], 91)</f>
        <v>Cal-Gran 50/50 (S)</v>
      </c>
      <c r="F187" s="192" t="str" cm="1">
        <f t="array" ref="F187">Common_InputFunctions.Utility_DisplayArrayInTable(Fertiliser_SourceData.Fertiliser_Products_Data4(),FertiliserProducts[[#Headers],[Company]], 91)</f>
        <v>kg</v>
      </c>
      <c r="G187" s="192" cm="1">
        <f t="array" ref="G187">Common_InputFunctions.Utility_DisplayArrayInTable(Fertiliser_SourceData.Fertiliser_Products_Data4(),FertiliserProducts[[#Headers],[Company]], 91)</f>
        <v>1</v>
      </c>
      <c r="H187" s="192" t="str" cm="1">
        <f t="array" ref="H187">Common_InputFunctions.Utility_DisplayArrayInTable(Fertiliser_SourceData.Fertiliser_Products_Data4(),FertiliserProducts[[#Headers],[Company]], 91)</f>
        <v/>
      </c>
      <c r="I187" s="192" t="str" cm="1">
        <f t="array" ref="I187">Common_InputFunctions.Utility_DisplayArrayInTable(Fertiliser_SourceData.Fertiliser_Products_Data4(),FertiliserProducts[[#Headers],[Company]], 91)</f>
        <v/>
      </c>
      <c r="J187" s="192" t="str" cm="1">
        <f t="array" ref="J187">Common_InputFunctions.Utility_DisplayArrayInTable(Fertiliser_SourceData.Fertiliser_Products_Data4(),FertiliserProducts[[#Headers],[Company]], 91)</f>
        <v/>
      </c>
      <c r="K187" s="192" cm="1">
        <f t="array" ref="K187">Common_InputFunctions.Utility_DisplayArrayInTable(Fertiliser_SourceData.Fertiliser_Products_Data4(),FertiliserProducts[[#Headers],[Company]], 91)</f>
        <v>16.899999999999999</v>
      </c>
      <c r="L187" s="192" t="str" cm="1">
        <f t="array" ref="L187">Common_InputFunctions.Utility_DisplayArrayInTable(Fertiliser_SourceData.Fertiliser_Products_Data4(),FertiliserProducts[[#Headers],[Company]], 91)</f>
        <v/>
      </c>
      <c r="M187" s="192" cm="1">
        <f t="array" ref="M187">Common_InputFunctions.Utility_DisplayArrayInTable(Fertiliser_SourceData.Fertiliser_Products_Data4(),FertiliserProducts[[#Headers],[Company]], 91)</f>
        <v>14.4</v>
      </c>
      <c r="N187" s="192" cm="1">
        <f t="array" ref="N187">Common_InputFunctions.Utility_DisplayArrayInTable(Fertiliser_SourceData.Fertiliser_Products_Data4(),FertiliserProducts[[#Headers],[Company]], 91)</f>
        <v>8.6999999999999993</v>
      </c>
      <c r="O187" s="192" t="str" cm="1">
        <f t="array" ref="O187">Common_InputFunctions.Utility_DisplayArrayInTable(Fertiliser_SourceData.Fertiliser_Products_Data4(),FertiliserProducts[[#Headers],[Company]], 91)</f>
        <v>Nitrogen - Nitrate</v>
      </c>
      <c r="P187" s="192" cm="1">
        <f t="array" ref="P187">Common_InputFunctions.Utility_DisplayArrayInTable(Fertiliser_SourceData.Fertiliser_Products_Data4(),FertiliserProducts[[#Headers],[Company]], 91)</f>
        <v>5.1999999999999998E-2</v>
      </c>
      <c r="Q187" s="192" t="str" cm="1">
        <f t="array" ref="Q187">Common_InputFunctions.Utility_DisplayArrayInTable(Fertiliser_SourceData.Fertiliser_Products_Data4(),FertiliserProducts[[#Headers],[Company]], 91)</f>
        <v>Nitrogen - Ammoniacal</v>
      </c>
      <c r="R187" s="192" cm="1">
        <f t="array" ref="R187">Common_InputFunctions.Utility_DisplayArrayInTable(Fertiliser_SourceData.Fertiliser_Products_Data4(),FertiliserProducts[[#Headers],[Company]], 91)</f>
        <v>0.11700000000000001</v>
      </c>
      <c r="S187" s="192" t="str" cm="1">
        <f t="array" ref="S187">Common_InputFunctions.Utility_DisplayArrayInTable(Fertiliser_SourceData.Fertiliser_Products_Data4(),FertiliserProducts[[#Headers],[Company]], 91)</f>
        <v>Potassium - Generic</v>
      </c>
      <c r="T187" s="192" cm="1">
        <f t="array" ref="T187">Common_InputFunctions.Utility_DisplayArrayInTable(Fertiliser_SourceData.Fertiliser_Products_Data4(),FertiliserProducts[[#Headers],[Company]], 91)</f>
        <v>0.14399999999999999</v>
      </c>
      <c r="U187" s="192" t="str" cm="1">
        <f t="array" ref="U187">Common_InputFunctions.Utility_DisplayArrayInTable(Fertiliser_SourceData.Fertiliser_Products_Data4(),FertiliserProducts[[#Headers],[Company]], 91)</f>
        <v>Sulfur - Generic</v>
      </c>
      <c r="V187" s="192" cm="1">
        <f t="array" ref="V187">Common_InputFunctions.Utility_DisplayArrayInTable(Fertiliser_SourceData.Fertiliser_Products_Data4(),FertiliserProducts[[#Headers],[Company]], 91)</f>
        <v>8.6999999999999994E-2</v>
      </c>
      <c r="W187" s="192" t="str" cm="1">
        <f t="array" ref="W187">Common_InputFunctions.Utility_DisplayArrayInTable(Fertiliser_SourceData.Fertiliser_Products_Data4(),FertiliserProducts[[#Headers],[Company]], 91)</f>
        <v>Calcium</v>
      </c>
      <c r="X187" s="192" cm="1">
        <f t="array" ref="X187">Common_InputFunctions.Utility_DisplayArrayInTable(Fertiliser_SourceData.Fertiliser_Products_Data4(),FertiliserProducts[[#Headers],[Company]], 91)</f>
        <v>4.3999999999999997E-2</v>
      </c>
      <c r="Y187" s="192" t="str" cm="1">
        <f t="array" ref="Y187">Common_InputFunctions.Utility_DisplayArrayInTable(Fertiliser_SourceData.Fertiliser_Products_Data4(),FertiliserProducts[[#Headers],[Company]], 91)</f>
        <v/>
      </c>
      <c r="Z187" s="192" t="str" cm="1">
        <f t="array" ref="Z187">Common_InputFunctions.Utility_DisplayArrayInTable(Fertiliser_SourceData.Fertiliser_Products_Data4(),FertiliserProducts[[#Headers],[Company]], 91)</f>
        <v/>
      </c>
      <c r="AA187" s="192" t="str" cm="1">
        <f t="array" ref="AA187">Common_InputFunctions.Utility_DisplayArrayInTable(Fertiliser_SourceData.Fertiliser_Products_Data4(),FertiliserProducts[[#Headers],[Company]], 91)</f>
        <v/>
      </c>
      <c r="AB187" s="192" t="str" cm="1">
        <f t="array" ref="AB187">Common_InputFunctions.Utility_DisplayArrayInTable(Fertiliser_SourceData.Fertiliser_Products_Data4(),FertiliserProducts[[#Headers],[Company]], 91)</f>
        <v/>
      </c>
      <c r="AC187" s="192" t="str" cm="1">
        <f t="array" ref="AC187">Common_InputFunctions.Utility_DisplayArrayInTable(Fertiliser_SourceData.Fertiliser_Products_Data4(),FertiliserProducts[[#Headers],[Company]], 91)</f>
        <v/>
      </c>
      <c r="AD187" s="192" t="str" cm="1">
        <f t="array" ref="AD187">Common_InputFunctions.Utility_DisplayArrayInTable(Fertiliser_SourceData.Fertiliser_Products_Data4(),FertiliserProducts[[#Headers],[Company]], 91)</f>
        <v/>
      </c>
      <c r="AE187" s="192" t="str" cm="1">
        <f t="array" ref="AE187">Common_InputFunctions.Utility_DisplayArrayInTable(Fertiliser_SourceData.Fertiliser_Products_Data4(),FertiliserProducts[[#Headers],[Company]], 91)</f>
        <v/>
      </c>
      <c r="AF187" s="192" t="str" cm="1">
        <f t="array" ref="AF187">Common_InputFunctions.Utility_DisplayArrayInTable(Fertiliser_SourceData.Fertiliser_Products_Data4(),FertiliserProducts[[#Headers],[Company]], 91)</f>
        <v/>
      </c>
      <c r="AG187" s="192" t="str" cm="1">
        <f t="array" ref="AG187">Common_InputFunctions.Utility_DisplayArrayInTable(Fertiliser_SourceData.Fertiliser_Products_Data4(),FertiliserProducts[[#Headers],[Company]], 91)</f>
        <v/>
      </c>
      <c r="AH187" s="192" t="str" cm="1">
        <f t="array" ref="AH187">Common_InputFunctions.Utility_DisplayArrayInTable(Fertiliser_SourceData.Fertiliser_Products_Data4(),FertiliserProducts[[#Headers],[Company]], 91)</f>
        <v/>
      </c>
    </row>
    <row r="188" spans="4:37" x14ac:dyDescent="0.25">
      <c r="D188" s="192" t="str" cm="1">
        <f t="array" ref="D188">Common_InputFunctions.Utility_DisplayArrayInTable(Fertiliser_SourceData.Fertiliser_Products_Data4(),FertiliserProducts[[#Headers],[Company]], 91)</f>
        <v>Pacific Fertiliser / Incitec Pivot Fertilisers</v>
      </c>
      <c r="E188" s="192" t="str" cm="1">
        <f t="array" ref="E188">Common_InputFunctions.Utility_DisplayArrayInTable(Fertiliser_SourceData.Fertiliser_Products_Data4(),FertiliserProducts[[#Headers],[Company]], 91)</f>
        <v>Cal-Gran 130</v>
      </c>
      <c r="F188" s="192" t="str" cm="1">
        <f t="array" ref="F188">Common_InputFunctions.Utility_DisplayArrayInTable(Fertiliser_SourceData.Fertiliser_Products_Data4(),FertiliserProducts[[#Headers],[Company]], 91)</f>
        <v>kg</v>
      </c>
      <c r="G188" s="192" cm="1">
        <f t="array" ref="G188">Common_InputFunctions.Utility_DisplayArrayInTable(Fertiliser_SourceData.Fertiliser_Products_Data4(),FertiliserProducts[[#Headers],[Company]], 91)</f>
        <v>1</v>
      </c>
      <c r="H188" s="192" t="str" cm="1">
        <f t="array" ref="H188">Common_InputFunctions.Utility_DisplayArrayInTable(Fertiliser_SourceData.Fertiliser_Products_Data4(),FertiliserProducts[[#Headers],[Company]], 91)</f>
        <v/>
      </c>
      <c r="I188" s="192" t="str" cm="1">
        <f t="array" ref="I188">Common_InputFunctions.Utility_DisplayArrayInTable(Fertiliser_SourceData.Fertiliser_Products_Data4(),FertiliserProducts[[#Headers],[Company]], 91)</f>
        <v/>
      </c>
      <c r="J188" s="192" t="str" cm="1">
        <f t="array" ref="J188">Common_InputFunctions.Utility_DisplayArrayInTable(Fertiliser_SourceData.Fertiliser_Products_Data4(),FertiliserProducts[[#Headers],[Company]], 91)</f>
        <v/>
      </c>
      <c r="K188" s="192" cm="1">
        <f t="array" ref="K188">Common_InputFunctions.Utility_DisplayArrayInTable(Fertiliser_SourceData.Fertiliser_Products_Data4(),FertiliserProducts[[#Headers],[Company]], 91)</f>
        <v>18.8</v>
      </c>
      <c r="L188" s="192" cm="1">
        <f t="array" ref="L188">Common_InputFunctions.Utility_DisplayArrayInTable(Fertiliser_SourceData.Fertiliser_Products_Data4(),FertiliserProducts[[#Headers],[Company]], 91)</f>
        <v>1</v>
      </c>
      <c r="M188" s="192" cm="1">
        <f t="array" ref="M188">Common_InputFunctions.Utility_DisplayArrayInTable(Fertiliser_SourceData.Fertiliser_Products_Data4(),FertiliserProducts[[#Headers],[Company]], 91)</f>
        <v>12.5</v>
      </c>
      <c r="N188" s="192" cm="1">
        <f t="array" ref="N188">Common_InputFunctions.Utility_DisplayArrayInTable(Fertiliser_SourceData.Fertiliser_Products_Data4(),FertiliserProducts[[#Headers],[Company]], 91)</f>
        <v>3.7</v>
      </c>
      <c r="O188" s="192" t="str" cm="1">
        <f t="array" ref="O188">Common_InputFunctions.Utility_DisplayArrayInTable(Fertiliser_SourceData.Fertiliser_Products_Data4(),FertiliserProducts[[#Headers],[Company]], 91)</f>
        <v>Nitrogen - Nitrate</v>
      </c>
      <c r="P188" s="192" cm="1">
        <f t="array" ref="P188">Common_InputFunctions.Utility_DisplayArrayInTable(Fertiliser_SourceData.Fertiliser_Products_Data4(),FertiliserProducts[[#Headers],[Company]], 91)</f>
        <v>5.8000000000000003E-2</v>
      </c>
      <c r="Q188" s="192" t="str" cm="1">
        <f t="array" ref="Q188">Common_InputFunctions.Utility_DisplayArrayInTable(Fertiliser_SourceData.Fertiliser_Products_Data4(),FertiliserProducts[[#Headers],[Company]], 91)</f>
        <v>Nitrogen - Ammoniacal</v>
      </c>
      <c r="R188" s="192" cm="1">
        <f t="array" ref="R188">Common_InputFunctions.Utility_DisplayArrayInTable(Fertiliser_SourceData.Fertiliser_Products_Data4(),FertiliserProducts[[#Headers],[Company]], 91)</f>
        <v>0.13</v>
      </c>
      <c r="S188" s="192" t="str" cm="1">
        <f t="array" ref="S188">Common_InputFunctions.Utility_DisplayArrayInTable(Fertiliser_SourceData.Fertiliser_Products_Data4(),FertiliserProducts[[#Headers],[Company]], 91)</f>
        <v>Phosphorus - Generic</v>
      </c>
      <c r="T188" s="192" cm="1">
        <f t="array" ref="T188">Common_InputFunctions.Utility_DisplayArrayInTable(Fertiliser_SourceData.Fertiliser_Products_Data4(),FertiliserProducts[[#Headers],[Company]], 91)</f>
        <v>0.01</v>
      </c>
      <c r="U188" s="192" t="str" cm="1">
        <f t="array" ref="U188">Common_InputFunctions.Utility_DisplayArrayInTable(Fertiliser_SourceData.Fertiliser_Products_Data4(),FertiliserProducts[[#Headers],[Company]], 91)</f>
        <v>Potassium - Generic</v>
      </c>
      <c r="V188" s="192" cm="1">
        <f t="array" ref="V188">Common_InputFunctions.Utility_DisplayArrayInTable(Fertiliser_SourceData.Fertiliser_Products_Data4(),FertiliserProducts[[#Headers],[Company]], 91)</f>
        <v>0.125</v>
      </c>
      <c r="W188" s="192" t="str" cm="1">
        <f t="array" ref="W188">Common_InputFunctions.Utility_DisplayArrayInTable(Fertiliser_SourceData.Fertiliser_Products_Data4(),FertiliserProducts[[#Headers],[Company]], 91)</f>
        <v>Sulfur - Generic</v>
      </c>
      <c r="X188" s="192" cm="1">
        <f t="array" ref="X188">Common_InputFunctions.Utility_DisplayArrayInTable(Fertiliser_SourceData.Fertiliser_Products_Data4(),FertiliserProducts[[#Headers],[Company]], 91)</f>
        <v>3.6999999999999998E-2</v>
      </c>
      <c r="Y188" s="192" t="str" cm="1">
        <f t="array" ref="Y188">Common_InputFunctions.Utility_DisplayArrayInTable(Fertiliser_SourceData.Fertiliser_Products_Data4(),FertiliserProducts[[#Headers],[Company]], 91)</f>
        <v>Calcium</v>
      </c>
      <c r="Z188" s="192" cm="1">
        <f t="array" ref="Z188">Common_InputFunctions.Utility_DisplayArrayInTable(Fertiliser_SourceData.Fertiliser_Products_Data4(),FertiliserProducts[[#Headers],[Company]], 91)</f>
        <v>4.3999999999999997E-2</v>
      </c>
      <c r="AA188" s="192" t="str" cm="1">
        <f t="array" ref="AA188">Common_InputFunctions.Utility_DisplayArrayInTable(Fertiliser_SourceData.Fertiliser_Products_Data4(),FertiliserProducts[[#Headers],[Company]], 91)</f>
        <v/>
      </c>
      <c r="AB188" s="192" t="str" cm="1">
        <f t="array" ref="AB188">Common_InputFunctions.Utility_DisplayArrayInTable(Fertiliser_SourceData.Fertiliser_Products_Data4(),FertiliserProducts[[#Headers],[Company]], 91)</f>
        <v/>
      </c>
      <c r="AC188" s="192" t="str" cm="1">
        <f t="array" ref="AC188">Common_InputFunctions.Utility_DisplayArrayInTable(Fertiliser_SourceData.Fertiliser_Products_Data4(),FertiliserProducts[[#Headers],[Company]], 91)</f>
        <v/>
      </c>
      <c r="AD188" s="192" t="str" cm="1">
        <f t="array" ref="AD188">Common_InputFunctions.Utility_DisplayArrayInTable(Fertiliser_SourceData.Fertiliser_Products_Data4(),FertiliserProducts[[#Headers],[Company]], 91)</f>
        <v/>
      </c>
      <c r="AE188" s="192" t="str" cm="1">
        <f t="array" ref="AE188">Common_InputFunctions.Utility_DisplayArrayInTable(Fertiliser_SourceData.Fertiliser_Products_Data4(),FertiliserProducts[[#Headers],[Company]], 91)</f>
        <v/>
      </c>
      <c r="AF188" s="192" t="str" cm="1">
        <f t="array" ref="AF188">Common_InputFunctions.Utility_DisplayArrayInTable(Fertiliser_SourceData.Fertiliser_Products_Data4(),FertiliserProducts[[#Headers],[Company]], 91)</f>
        <v/>
      </c>
      <c r="AG188" s="192" t="str" cm="1">
        <f t="array" ref="AG188">Common_InputFunctions.Utility_DisplayArrayInTable(Fertiliser_SourceData.Fertiliser_Products_Data4(),FertiliserProducts[[#Headers],[Company]], 91)</f>
        <v/>
      </c>
      <c r="AH188" s="192" t="str" cm="1">
        <f t="array" ref="AH188">Common_InputFunctions.Utility_DisplayArrayInTable(Fertiliser_SourceData.Fertiliser_Products_Data4(),FertiliserProducts[[#Headers],[Company]], 91)</f>
        <v/>
      </c>
    </row>
    <row r="189" spans="4:37" x14ac:dyDescent="0.25">
      <c r="D189" s="192" t="str" cm="1">
        <f t="array" ref="D189">Common_InputFunctions.Utility_DisplayArrayInTable(Fertiliser_SourceData.Fertiliser_Products_Data4(),FertiliserProducts[[#Headers],[Company]], 91)</f>
        <v>Pacific Fertiliser / Incitec Pivot Fertilisers</v>
      </c>
      <c r="E189" s="192" t="str" cm="1">
        <f t="array" ref="E189">Common_InputFunctions.Utility_DisplayArrayInTable(Fertiliser_SourceData.Fertiliser_Products_Data4(),FertiliserProducts[[#Headers],[Company]], 91)</f>
        <v>Cal-Gran 150</v>
      </c>
      <c r="F189" s="192" t="str" cm="1">
        <f t="array" ref="F189">Common_InputFunctions.Utility_DisplayArrayInTable(Fertiliser_SourceData.Fertiliser_Products_Data4(),FertiliserProducts[[#Headers],[Company]], 91)</f>
        <v>kg</v>
      </c>
      <c r="G189" s="192" cm="1">
        <f t="array" ref="G189">Common_InputFunctions.Utility_DisplayArrayInTable(Fertiliser_SourceData.Fertiliser_Products_Data4(),FertiliserProducts[[#Headers],[Company]], 91)</f>
        <v>1</v>
      </c>
      <c r="H189" s="192" t="str" cm="1">
        <f t="array" ref="H189">Common_InputFunctions.Utility_DisplayArrayInTable(Fertiliser_SourceData.Fertiliser_Products_Data4(),FertiliserProducts[[#Headers],[Company]], 91)</f>
        <v/>
      </c>
      <c r="I189" s="192" t="str" cm="1">
        <f t="array" ref="I189">Common_InputFunctions.Utility_DisplayArrayInTable(Fertiliser_SourceData.Fertiliser_Products_Data4(),FertiliserProducts[[#Headers],[Company]], 91)</f>
        <v/>
      </c>
      <c r="J189" s="192" t="str" cm="1">
        <f t="array" ref="J189">Common_InputFunctions.Utility_DisplayArrayInTable(Fertiliser_SourceData.Fertiliser_Products_Data4(),FertiliserProducts[[#Headers],[Company]], 91)</f>
        <v/>
      </c>
      <c r="K189" s="192" cm="1">
        <f t="array" ref="K189">Common_InputFunctions.Utility_DisplayArrayInTable(Fertiliser_SourceData.Fertiliser_Products_Data4(),FertiliserProducts[[#Headers],[Company]], 91)</f>
        <v>18.600000000000001</v>
      </c>
      <c r="L189" s="192" cm="1">
        <f t="array" ref="L189">Common_InputFunctions.Utility_DisplayArrayInTable(Fertiliser_SourceData.Fertiliser_Products_Data4(),FertiliserProducts[[#Headers],[Company]], 91)</f>
        <v>3</v>
      </c>
      <c r="M189" s="192" cm="1">
        <f t="array" ref="M189">Common_InputFunctions.Utility_DisplayArrayInTable(Fertiliser_SourceData.Fertiliser_Products_Data4(),FertiliserProducts[[#Headers],[Company]], 91)</f>
        <v>12.5</v>
      </c>
      <c r="N189" s="192" cm="1">
        <f t="array" ref="N189">Common_InputFunctions.Utility_DisplayArrayInTable(Fertiliser_SourceData.Fertiliser_Products_Data4(),FertiliserProducts[[#Headers],[Company]], 91)</f>
        <v>1.4</v>
      </c>
      <c r="O189" s="192" t="str" cm="1">
        <f t="array" ref="O189">Common_InputFunctions.Utility_DisplayArrayInTable(Fertiliser_SourceData.Fertiliser_Products_Data4(),FertiliserProducts[[#Headers],[Company]], 91)</f>
        <v>Nitrogen - Nitrate</v>
      </c>
      <c r="P189" s="192" cm="1">
        <f t="array" ref="P189">Common_InputFunctions.Utility_DisplayArrayInTable(Fertiliser_SourceData.Fertiliser_Products_Data4(),FertiliserProducts[[#Headers],[Company]], 91)</f>
        <v>5.8000000000000003E-2</v>
      </c>
      <c r="Q189" s="192" t="str" cm="1">
        <f t="array" ref="Q189">Common_InputFunctions.Utility_DisplayArrayInTable(Fertiliser_SourceData.Fertiliser_Products_Data4(),FertiliserProducts[[#Headers],[Company]], 91)</f>
        <v>Nitrogen - Ammoniacal</v>
      </c>
      <c r="R189" s="192" cm="1">
        <f t="array" ref="R189">Common_InputFunctions.Utility_DisplayArrayInTable(Fertiliser_SourceData.Fertiliser_Products_Data4(),FertiliserProducts[[#Headers],[Company]], 91)</f>
        <v>0.128</v>
      </c>
      <c r="S189" s="192" t="str" cm="1">
        <f t="array" ref="S189">Common_InputFunctions.Utility_DisplayArrayInTable(Fertiliser_SourceData.Fertiliser_Products_Data4(),FertiliserProducts[[#Headers],[Company]], 91)</f>
        <v>Phosphorus - Generic</v>
      </c>
      <c r="T189" s="192" cm="1">
        <f t="array" ref="T189">Common_InputFunctions.Utility_DisplayArrayInTable(Fertiliser_SourceData.Fertiliser_Products_Data4(),FertiliserProducts[[#Headers],[Company]], 91)</f>
        <v>0.03</v>
      </c>
      <c r="U189" s="192" t="str" cm="1">
        <f t="array" ref="U189">Common_InputFunctions.Utility_DisplayArrayInTable(Fertiliser_SourceData.Fertiliser_Products_Data4(),FertiliserProducts[[#Headers],[Company]], 91)</f>
        <v>Potassium - Generic</v>
      </c>
      <c r="V189" s="192" cm="1">
        <f t="array" ref="V189">Common_InputFunctions.Utility_DisplayArrayInTable(Fertiliser_SourceData.Fertiliser_Products_Data4(),FertiliserProducts[[#Headers],[Company]], 91)</f>
        <v>0.125</v>
      </c>
      <c r="W189" s="192" t="str" cm="1">
        <f t="array" ref="W189">Common_InputFunctions.Utility_DisplayArrayInTable(Fertiliser_SourceData.Fertiliser_Products_Data4(),FertiliserProducts[[#Headers],[Company]], 91)</f>
        <v>Sulfur - Generic</v>
      </c>
      <c r="X189" s="192" cm="1">
        <f t="array" ref="X189">Common_InputFunctions.Utility_DisplayArrayInTable(Fertiliser_SourceData.Fertiliser_Products_Data4(),FertiliserProducts[[#Headers],[Company]], 91)</f>
        <v>1.4E-2</v>
      </c>
      <c r="Y189" s="192" t="str" cm="1">
        <f t="array" ref="Y189">Common_InputFunctions.Utility_DisplayArrayInTable(Fertiliser_SourceData.Fertiliser_Products_Data4(),FertiliserProducts[[#Headers],[Company]], 91)</f>
        <v>Calcium</v>
      </c>
      <c r="Z189" s="192" cm="1">
        <f t="array" ref="Z189">Common_InputFunctions.Utility_DisplayArrayInTable(Fertiliser_SourceData.Fertiliser_Products_Data4(),FertiliserProducts[[#Headers],[Company]], 91)</f>
        <v>4.3999999999999997E-2</v>
      </c>
      <c r="AA189" s="192" t="str" cm="1">
        <f t="array" ref="AA189">Common_InputFunctions.Utility_DisplayArrayInTable(Fertiliser_SourceData.Fertiliser_Products_Data4(),FertiliserProducts[[#Headers],[Company]], 91)</f>
        <v/>
      </c>
      <c r="AB189" s="192" t="str" cm="1">
        <f t="array" ref="AB189">Common_InputFunctions.Utility_DisplayArrayInTable(Fertiliser_SourceData.Fertiliser_Products_Data4(),FertiliserProducts[[#Headers],[Company]], 91)</f>
        <v/>
      </c>
      <c r="AC189" s="192" t="str" cm="1">
        <f t="array" ref="AC189">Common_InputFunctions.Utility_DisplayArrayInTable(Fertiliser_SourceData.Fertiliser_Products_Data4(),FertiliserProducts[[#Headers],[Company]], 91)</f>
        <v/>
      </c>
      <c r="AD189" s="192" t="str" cm="1">
        <f t="array" ref="AD189">Common_InputFunctions.Utility_DisplayArrayInTable(Fertiliser_SourceData.Fertiliser_Products_Data4(),FertiliserProducts[[#Headers],[Company]], 91)</f>
        <v/>
      </c>
      <c r="AE189" s="192" t="str" cm="1">
        <f t="array" ref="AE189">Common_InputFunctions.Utility_DisplayArrayInTable(Fertiliser_SourceData.Fertiliser_Products_Data4(),FertiliserProducts[[#Headers],[Company]], 91)</f>
        <v/>
      </c>
      <c r="AF189" s="192" t="str" cm="1">
        <f t="array" ref="AF189">Common_InputFunctions.Utility_DisplayArrayInTable(Fertiliser_SourceData.Fertiliser_Products_Data4(),FertiliserProducts[[#Headers],[Company]], 91)</f>
        <v/>
      </c>
      <c r="AG189" s="192" t="str" cm="1">
        <f t="array" ref="AG189">Common_InputFunctions.Utility_DisplayArrayInTable(Fertiliser_SourceData.Fertiliser_Products_Data4(),FertiliserProducts[[#Headers],[Company]], 91)</f>
        <v/>
      </c>
      <c r="AH189" s="192" t="str" cm="1">
        <f t="array" ref="AH189">Common_InputFunctions.Utility_DisplayArrayInTable(Fertiliser_SourceData.Fertiliser_Products_Data4(),FertiliserProducts[[#Headers],[Company]], 91)</f>
        <v/>
      </c>
    </row>
    <row r="190" spans="4:37" x14ac:dyDescent="0.25">
      <c r="D190" s="192" t="str" cm="1">
        <f t="array" ref="D190">Common_InputFunctions.Utility_DisplayArrayInTable(Fertiliser_SourceData.Fertiliser_Products_Data4(),FertiliserProducts[[#Headers],[Company]], 91)</f>
        <v>Pacific Fertiliser / Incitec Pivot Fertilisers</v>
      </c>
      <c r="E190" s="192" t="str" cm="1">
        <f t="array" ref="E190">Common_InputFunctions.Utility_DisplayArrayInTable(Fertiliser_SourceData.Fertiliser_Products_Data4(),FertiliserProducts[[#Headers],[Company]], 91)</f>
        <v>Cal-Gran Extra K</v>
      </c>
      <c r="F190" s="192" t="str" cm="1">
        <f t="array" ref="F190">Common_InputFunctions.Utility_DisplayArrayInTable(Fertiliser_SourceData.Fertiliser_Products_Data4(),FertiliserProducts[[#Headers],[Company]], 91)</f>
        <v>kg</v>
      </c>
      <c r="G190" s="192" cm="1">
        <f t="array" ref="G190">Common_InputFunctions.Utility_DisplayArrayInTable(Fertiliser_SourceData.Fertiliser_Products_Data4(),FertiliserProducts[[#Headers],[Company]], 91)</f>
        <v>1</v>
      </c>
      <c r="H190" s="192" t="str" cm="1">
        <f t="array" ref="H190">Common_InputFunctions.Utility_DisplayArrayInTable(Fertiliser_SourceData.Fertiliser_Products_Data4(),FertiliserProducts[[#Headers],[Company]], 91)</f>
        <v/>
      </c>
      <c r="I190" s="192" t="str" cm="1">
        <f t="array" ref="I190">Common_InputFunctions.Utility_DisplayArrayInTable(Fertiliser_SourceData.Fertiliser_Products_Data4(),FertiliserProducts[[#Headers],[Company]], 91)</f>
        <v/>
      </c>
      <c r="J190" s="192" t="str" cm="1">
        <f t="array" ref="J190">Common_InputFunctions.Utility_DisplayArrayInTable(Fertiliser_SourceData.Fertiliser_Products_Data4(),FertiliserProducts[[#Headers],[Company]], 91)</f>
        <v/>
      </c>
      <c r="K190" s="192" cm="1">
        <f t="array" ref="K190">Common_InputFunctions.Utility_DisplayArrayInTable(Fertiliser_SourceData.Fertiliser_Products_Data4(),FertiliserProducts[[#Headers],[Company]], 91)</f>
        <v>15.8</v>
      </c>
      <c r="L190" s="192" t="str" cm="1">
        <f t="array" ref="L190">Common_InputFunctions.Utility_DisplayArrayInTable(Fertiliser_SourceData.Fertiliser_Products_Data4(),FertiliserProducts[[#Headers],[Company]], 91)</f>
        <v/>
      </c>
      <c r="M190" s="192" cm="1">
        <f t="array" ref="M190">Common_InputFunctions.Utility_DisplayArrayInTable(Fertiliser_SourceData.Fertiliser_Products_Data4(),FertiliserProducts[[#Headers],[Company]], 91)</f>
        <v>19</v>
      </c>
      <c r="N190" s="192" cm="1">
        <f t="array" ref="N190">Common_InputFunctions.Utility_DisplayArrayInTable(Fertiliser_SourceData.Fertiliser_Products_Data4(),FertiliserProducts[[#Headers],[Company]], 91)</f>
        <v>3.2</v>
      </c>
      <c r="O190" s="192" t="str" cm="1">
        <f t="array" ref="O190">Common_InputFunctions.Utility_DisplayArrayInTable(Fertiliser_SourceData.Fertiliser_Products_Data4(),FertiliserProducts[[#Headers],[Company]], 91)</f>
        <v>Nitrogen - Nitrate</v>
      </c>
      <c r="P190" s="192" cm="1">
        <f t="array" ref="P190">Common_InputFunctions.Utility_DisplayArrayInTable(Fertiliser_SourceData.Fertiliser_Products_Data4(),FertiliserProducts[[#Headers],[Company]], 91)</f>
        <v>4.9000000000000002E-2</v>
      </c>
      <c r="Q190" s="192" t="str" cm="1">
        <f t="array" ref="Q190">Common_InputFunctions.Utility_DisplayArrayInTable(Fertiliser_SourceData.Fertiliser_Products_Data4(),FertiliserProducts[[#Headers],[Company]], 91)</f>
        <v>Nitrogen - Ammoniacal</v>
      </c>
      <c r="R190" s="192" cm="1">
        <f t="array" ref="R190">Common_InputFunctions.Utility_DisplayArrayInTable(Fertiliser_SourceData.Fertiliser_Products_Data4(),FertiliserProducts[[#Headers],[Company]], 91)</f>
        <v>0.109</v>
      </c>
      <c r="S190" s="192" t="str" cm="1">
        <f t="array" ref="S190">Common_InputFunctions.Utility_DisplayArrayInTable(Fertiliser_SourceData.Fertiliser_Products_Data4(),FertiliserProducts[[#Headers],[Company]], 91)</f>
        <v>Potassium - Generic</v>
      </c>
      <c r="T190" s="192" cm="1">
        <f t="array" ref="T190">Common_InputFunctions.Utility_DisplayArrayInTable(Fertiliser_SourceData.Fertiliser_Products_Data4(),FertiliserProducts[[#Headers],[Company]], 91)</f>
        <v>0.19</v>
      </c>
      <c r="U190" s="192" t="str" cm="1">
        <f t="array" ref="U190">Common_InputFunctions.Utility_DisplayArrayInTable(Fertiliser_SourceData.Fertiliser_Products_Data4(),FertiliserProducts[[#Headers],[Company]], 91)</f>
        <v>Sulfur - Generic</v>
      </c>
      <c r="V190" s="192" cm="1">
        <f t="array" ref="V190">Common_InputFunctions.Utility_DisplayArrayInTable(Fertiliser_SourceData.Fertiliser_Products_Data4(),FertiliserProducts[[#Headers],[Company]], 91)</f>
        <v>3.2000000000000001E-2</v>
      </c>
      <c r="W190" s="192" t="str" cm="1">
        <f t="array" ref="W190">Common_InputFunctions.Utility_DisplayArrayInTable(Fertiliser_SourceData.Fertiliser_Products_Data4(),FertiliserProducts[[#Headers],[Company]], 91)</f>
        <v>Calcium</v>
      </c>
      <c r="X190" s="192" cm="1">
        <f t="array" ref="X190">Common_InputFunctions.Utility_DisplayArrayInTable(Fertiliser_SourceData.Fertiliser_Products_Data4(),FertiliserProducts[[#Headers],[Company]], 91)</f>
        <v>3.9E-2</v>
      </c>
      <c r="Y190" s="192" t="str" cm="1">
        <f t="array" ref="Y190">Common_InputFunctions.Utility_DisplayArrayInTable(Fertiliser_SourceData.Fertiliser_Products_Data4(),FertiliserProducts[[#Headers],[Company]], 91)</f>
        <v/>
      </c>
      <c r="Z190" s="192" t="str" cm="1">
        <f t="array" ref="Z190">Common_InputFunctions.Utility_DisplayArrayInTable(Fertiliser_SourceData.Fertiliser_Products_Data4(),FertiliserProducts[[#Headers],[Company]], 91)</f>
        <v/>
      </c>
      <c r="AA190" s="192" t="str" cm="1">
        <f t="array" ref="AA190">Common_InputFunctions.Utility_DisplayArrayInTable(Fertiliser_SourceData.Fertiliser_Products_Data4(),FertiliserProducts[[#Headers],[Company]], 91)</f>
        <v/>
      </c>
      <c r="AB190" s="192" t="str" cm="1">
        <f t="array" ref="AB190">Common_InputFunctions.Utility_DisplayArrayInTable(Fertiliser_SourceData.Fertiliser_Products_Data4(),FertiliserProducts[[#Headers],[Company]], 91)</f>
        <v/>
      </c>
      <c r="AC190" s="192" t="str" cm="1">
        <f t="array" ref="AC190">Common_InputFunctions.Utility_DisplayArrayInTable(Fertiliser_SourceData.Fertiliser_Products_Data4(),FertiliserProducts[[#Headers],[Company]], 91)</f>
        <v/>
      </c>
      <c r="AD190" s="192" t="str" cm="1">
        <f t="array" ref="AD190">Common_InputFunctions.Utility_DisplayArrayInTable(Fertiliser_SourceData.Fertiliser_Products_Data4(),FertiliserProducts[[#Headers],[Company]], 91)</f>
        <v/>
      </c>
      <c r="AE190" s="192" t="str" cm="1">
        <f t="array" ref="AE190">Common_InputFunctions.Utility_DisplayArrayInTable(Fertiliser_SourceData.Fertiliser_Products_Data4(),FertiliserProducts[[#Headers],[Company]], 91)</f>
        <v/>
      </c>
      <c r="AF190" s="192" t="str" cm="1">
        <f t="array" ref="AF190">Common_InputFunctions.Utility_DisplayArrayInTable(Fertiliser_SourceData.Fertiliser_Products_Data4(),FertiliserProducts[[#Headers],[Company]], 91)</f>
        <v/>
      </c>
      <c r="AG190" s="192" t="str" cm="1">
        <f t="array" ref="AG190">Common_InputFunctions.Utility_DisplayArrayInTable(Fertiliser_SourceData.Fertiliser_Products_Data4(),FertiliserProducts[[#Headers],[Company]], 91)</f>
        <v/>
      </c>
      <c r="AH190" s="192" t="str" cm="1">
        <f t="array" ref="AH190">Common_InputFunctions.Utility_DisplayArrayInTable(Fertiliser_SourceData.Fertiliser_Products_Data4(),FertiliserProducts[[#Headers],[Company]], 91)</f>
        <v/>
      </c>
    </row>
    <row r="191" spans="4:37" x14ac:dyDescent="0.25">
      <c r="D191" s="192" t="str" cm="1">
        <f t="array" ref="D191">Common_InputFunctions.Utility_DisplayArrayInTable(Fertiliser_SourceData.Fertiliser_Products_Data4(),FertiliserProducts[[#Headers],[Company]], 91)</f>
        <v>Incitec Pivot Fertilisers</v>
      </c>
      <c r="E191" s="192" t="str" cm="1">
        <f t="array" ref="E191">Common_InputFunctions.Utility_DisplayArrayInTable(Fertiliser_SourceData.Fertiliser_Products_Data4(),FertiliserProducts[[#Headers],[Company]], 91)</f>
        <v>Dairy Pro</v>
      </c>
      <c r="F191" s="192" t="str" cm="1">
        <f t="array" ref="F191">Common_InputFunctions.Utility_DisplayArrayInTable(Fertiliser_SourceData.Fertiliser_Products_Data4(),FertiliserProducts[[#Headers],[Company]], 91)</f>
        <v>kg</v>
      </c>
      <c r="G191" s="192" cm="1">
        <f t="array" ref="G191">Common_InputFunctions.Utility_DisplayArrayInTable(Fertiliser_SourceData.Fertiliser_Products_Data4(),FertiliserProducts[[#Headers],[Company]], 91)</f>
        <v>1</v>
      </c>
      <c r="H191" s="192" t="str" cm="1">
        <f t="array" ref="H191">Common_InputFunctions.Utility_DisplayArrayInTable(Fertiliser_SourceData.Fertiliser_Products_Data4(),FertiliserProducts[[#Headers],[Company]], 91)</f>
        <v/>
      </c>
      <c r="I191" s="192" t="str" cm="1">
        <f t="array" ref="I191">Common_InputFunctions.Utility_DisplayArrayInTable(Fertiliser_SourceData.Fertiliser_Products_Data4(),FertiliserProducts[[#Headers],[Company]], 91)</f>
        <v/>
      </c>
      <c r="J191" s="192" t="str" cm="1">
        <f t="array" ref="J191">Common_InputFunctions.Utility_DisplayArrayInTable(Fertiliser_SourceData.Fertiliser_Products_Data4(),FertiliserProducts[[#Headers],[Company]], 91)</f>
        <v/>
      </c>
      <c r="K191" s="192" cm="1">
        <f t="array" ref="K191">Common_InputFunctions.Utility_DisplayArrayInTable(Fertiliser_SourceData.Fertiliser_Products_Data4(),FertiliserProducts[[#Headers],[Company]], 91)</f>
        <v>25.9</v>
      </c>
      <c r="L191" s="192" cm="1">
        <f t="array" ref="L191">Common_InputFunctions.Utility_DisplayArrayInTable(Fertiliser_SourceData.Fertiliser_Products_Data4(),FertiliserProducts[[#Headers],[Company]], 91)</f>
        <v>3.9</v>
      </c>
      <c r="M191" s="192" cm="1">
        <f t="array" ref="M191">Common_InputFunctions.Utility_DisplayArrayInTable(Fertiliser_SourceData.Fertiliser_Products_Data4(),FertiliserProducts[[#Headers],[Company]], 91)</f>
        <v>15.9</v>
      </c>
      <c r="N191" s="192" cm="1">
        <f t="array" ref="N191">Common_InputFunctions.Utility_DisplayArrayInTable(Fertiliser_SourceData.Fertiliser_Products_Data4(),FertiliserProducts[[#Headers],[Company]], 91)</f>
        <v>0.3</v>
      </c>
      <c r="O191" s="192" t="str" cm="1">
        <f t="array" ref="O191">Common_InputFunctions.Utility_DisplayArrayInTable(Fertiliser_SourceData.Fertiliser_Products_Data4(),FertiliserProducts[[#Headers],[Company]], 91)</f>
        <v>Nitrogen - Generic</v>
      </c>
      <c r="P191" s="192" cm="1">
        <f t="array" ref="P191">Common_InputFunctions.Utility_DisplayArrayInTable(Fertiliser_SourceData.Fertiliser_Products_Data4(),FertiliserProducts[[#Headers],[Company]], 91)</f>
        <v>0.25900000000000001</v>
      </c>
      <c r="Q191" s="192" t="str" cm="1">
        <f t="array" ref="Q191">Common_InputFunctions.Utility_DisplayArrayInTable(Fertiliser_SourceData.Fertiliser_Products_Data4(),FertiliserProducts[[#Headers],[Company]], 91)</f>
        <v>Phosphorus - Generic</v>
      </c>
      <c r="R191" s="192" cm="1">
        <f t="array" ref="R191">Common_InputFunctions.Utility_DisplayArrayInTable(Fertiliser_SourceData.Fertiliser_Products_Data4(),FertiliserProducts[[#Headers],[Company]], 91)</f>
        <v>3.9E-2</v>
      </c>
      <c r="S191" s="192" t="str" cm="1">
        <f t="array" ref="S191">Common_InputFunctions.Utility_DisplayArrayInTable(Fertiliser_SourceData.Fertiliser_Products_Data4(),FertiliserProducts[[#Headers],[Company]], 91)</f>
        <v>Potassium - Generic</v>
      </c>
      <c r="T191" s="192" cm="1">
        <f t="array" ref="T191">Common_InputFunctions.Utility_DisplayArrayInTable(Fertiliser_SourceData.Fertiliser_Products_Data4(),FertiliserProducts[[#Headers],[Company]], 91)</f>
        <v>0.159</v>
      </c>
      <c r="U191" s="192" t="str" cm="1">
        <f t="array" ref="U191">Common_InputFunctions.Utility_DisplayArrayInTable(Fertiliser_SourceData.Fertiliser_Products_Data4(),FertiliserProducts[[#Headers],[Company]], 91)</f>
        <v>Sulfur - Generic</v>
      </c>
      <c r="V191" s="192" cm="1">
        <f t="array" ref="V191">Common_InputFunctions.Utility_DisplayArrayInTable(Fertiliser_SourceData.Fertiliser_Products_Data4(),FertiliserProducts[[#Headers],[Company]], 91)</f>
        <v>3.0000000000000001E-3</v>
      </c>
      <c r="W191" s="192" t="str" cm="1">
        <f t="array" ref="W191">Common_InputFunctions.Utility_DisplayArrayInTable(Fertiliser_SourceData.Fertiliser_Products_Data4(),FertiliserProducts[[#Headers],[Company]], 91)</f>
        <v/>
      </c>
      <c r="X191" s="192" t="str" cm="1">
        <f t="array" ref="X191">Common_InputFunctions.Utility_DisplayArrayInTable(Fertiliser_SourceData.Fertiliser_Products_Data4(),FertiliserProducts[[#Headers],[Company]], 91)</f>
        <v/>
      </c>
      <c r="Y191" s="192" t="str" cm="1">
        <f t="array" ref="Y191">Common_InputFunctions.Utility_DisplayArrayInTable(Fertiliser_SourceData.Fertiliser_Products_Data4(),FertiliserProducts[[#Headers],[Company]], 91)</f>
        <v/>
      </c>
      <c r="Z191" s="192" t="str" cm="1">
        <f t="array" ref="Z191">Common_InputFunctions.Utility_DisplayArrayInTable(Fertiliser_SourceData.Fertiliser_Products_Data4(),FertiliserProducts[[#Headers],[Company]], 91)</f>
        <v/>
      </c>
      <c r="AA191" s="192" t="str" cm="1">
        <f t="array" ref="AA191">Common_InputFunctions.Utility_DisplayArrayInTable(Fertiliser_SourceData.Fertiliser_Products_Data4(),FertiliserProducts[[#Headers],[Company]], 91)</f>
        <v/>
      </c>
      <c r="AB191" s="192" t="str" cm="1">
        <f t="array" ref="AB191">Common_InputFunctions.Utility_DisplayArrayInTable(Fertiliser_SourceData.Fertiliser_Products_Data4(),FertiliserProducts[[#Headers],[Company]], 91)</f>
        <v/>
      </c>
      <c r="AC191" s="192" t="str" cm="1">
        <f t="array" ref="AC191">Common_InputFunctions.Utility_DisplayArrayInTable(Fertiliser_SourceData.Fertiliser_Products_Data4(),FertiliserProducts[[#Headers],[Company]], 91)</f>
        <v/>
      </c>
      <c r="AD191" s="192" t="str" cm="1">
        <f t="array" ref="AD191">Common_InputFunctions.Utility_DisplayArrayInTable(Fertiliser_SourceData.Fertiliser_Products_Data4(),FertiliserProducts[[#Headers],[Company]], 91)</f>
        <v/>
      </c>
      <c r="AE191" s="192" t="str" cm="1">
        <f t="array" ref="AE191">Common_InputFunctions.Utility_DisplayArrayInTable(Fertiliser_SourceData.Fertiliser_Products_Data4(),FertiliserProducts[[#Headers],[Company]], 91)</f>
        <v/>
      </c>
      <c r="AF191" s="192" t="str" cm="1">
        <f t="array" ref="AF191">Common_InputFunctions.Utility_DisplayArrayInTable(Fertiliser_SourceData.Fertiliser_Products_Data4(),FertiliserProducts[[#Headers],[Company]], 91)</f>
        <v/>
      </c>
      <c r="AG191" s="192" t="str" cm="1">
        <f t="array" ref="AG191">Common_InputFunctions.Utility_DisplayArrayInTable(Fertiliser_SourceData.Fertiliser_Products_Data4(),FertiliserProducts[[#Headers],[Company]], 91)</f>
        <v/>
      </c>
      <c r="AH191" s="192" t="str" cm="1">
        <f t="array" ref="AH191">Common_InputFunctions.Utility_DisplayArrayInTable(Fertiliser_SourceData.Fertiliser_Products_Data4(),FertiliserProducts[[#Headers],[Company]], 91)</f>
        <v/>
      </c>
    </row>
    <row r="192" spans="4:37" x14ac:dyDescent="0.25">
      <c r="D192" s="192" t="str" cm="1">
        <f t="array" ref="D192">Common_InputFunctions.Utility_DisplayArrayInTable(Fertiliser_SourceData.Fertiliser_Products_Data4(),FertiliserProducts[[#Headers],[Company]], 91)</f>
        <v>Yara Australia</v>
      </c>
      <c r="E192" s="192" t="str" cm="1">
        <f t="array" ref="E192">Common_InputFunctions.Utility_DisplayArrayInTable(Fertiliser_SourceData.Fertiliser_Products_Data4(),FertiliserProducts[[#Headers],[Company]], 91)</f>
        <v>YaraMila ACTYVA S</v>
      </c>
      <c r="F192" s="192" t="str" cm="1">
        <f t="array" ref="F192">Common_InputFunctions.Utility_DisplayArrayInTable(Fertiliser_SourceData.Fertiliser_Products_Data4(),FertiliserProducts[[#Headers],[Company]], 91)</f>
        <v>kg</v>
      </c>
      <c r="G192" s="192" cm="1">
        <f t="array" ref="G192">Common_InputFunctions.Utility_DisplayArrayInTable(Fertiliser_SourceData.Fertiliser_Products_Data4(),FertiliserProducts[[#Headers],[Company]], 91)</f>
        <v>1</v>
      </c>
      <c r="H192" s="192" t="str" cm="1">
        <f t="array" ref="H192">Common_InputFunctions.Utility_DisplayArrayInTable(Fertiliser_SourceData.Fertiliser_Products_Data4(),FertiliserProducts[[#Headers],[Company]], 91)</f>
        <v/>
      </c>
      <c r="I192" s="192" t="str" cm="1">
        <f t="array" ref="I192">Common_InputFunctions.Utility_DisplayArrayInTable(Fertiliser_SourceData.Fertiliser_Products_Data4(),FertiliserProducts[[#Headers],[Company]], 91)</f>
        <v/>
      </c>
      <c r="J192" s="192" t="str" cm="1">
        <f t="array" ref="J192">Common_InputFunctions.Utility_DisplayArrayInTable(Fertiliser_SourceData.Fertiliser_Products_Data4(),FertiliserProducts[[#Headers],[Company]], 91)</f>
        <v/>
      </c>
      <c r="K192" s="192" cm="1">
        <f t="array" ref="K192">Common_InputFunctions.Utility_DisplayArrayInTable(Fertiliser_SourceData.Fertiliser_Products_Data4(),FertiliserProducts[[#Headers],[Company]], 91)</f>
        <v>15.6</v>
      </c>
      <c r="L192" s="192" cm="1">
        <f t="array" ref="L192">Common_InputFunctions.Utility_DisplayArrayInTable(Fertiliser_SourceData.Fertiliser_Products_Data4(),FertiliserProducts[[#Headers],[Company]], 91)</f>
        <v>6.37</v>
      </c>
      <c r="M192" s="192" cm="1">
        <f t="array" ref="M192">Common_InputFunctions.Utility_DisplayArrayInTable(Fertiliser_SourceData.Fertiliser_Products_Data4(),FertiliserProducts[[#Headers],[Company]], 91)</f>
        <v>12.45</v>
      </c>
      <c r="N192" s="192" cm="1">
        <f t="array" ref="N192">Common_InputFunctions.Utility_DisplayArrayInTable(Fertiliser_SourceData.Fertiliser_Products_Data4(),FertiliserProducts[[#Headers],[Company]], 91)</f>
        <v>2.6</v>
      </c>
      <c r="O192" s="192" t="str" cm="1">
        <f t="array" ref="O192">Common_InputFunctions.Utility_DisplayArrayInTable(Fertiliser_SourceData.Fertiliser_Products_Data4(),FertiliserProducts[[#Headers],[Company]], 91)</f>
        <v>Nitrogen - Nitrate</v>
      </c>
      <c r="P192" s="192" cm="1">
        <f t="array" ref="P192">Common_InputFunctions.Utility_DisplayArrayInTable(Fertiliser_SourceData.Fertiliser_Products_Data4(),FertiliserProducts[[#Headers],[Company]], 91)</f>
        <v>5.8000000000000003E-2</v>
      </c>
      <c r="Q192" s="192" t="str" cm="1">
        <f t="array" ref="Q192">Common_InputFunctions.Utility_DisplayArrayInTable(Fertiliser_SourceData.Fertiliser_Products_Data4(),FertiliserProducts[[#Headers],[Company]], 91)</f>
        <v>Nitrogen - Ammoniacal</v>
      </c>
      <c r="R192" s="192" cm="1">
        <f t="array" ref="R192">Common_InputFunctions.Utility_DisplayArrayInTable(Fertiliser_SourceData.Fertiliser_Products_Data4(),FertiliserProducts[[#Headers],[Company]], 91)</f>
        <v>9.8000000000000004E-2</v>
      </c>
      <c r="S192" s="192" t="str" cm="1">
        <f t="array" ref="S192">Common_InputFunctions.Utility_DisplayArrayInTable(Fertiliser_SourceData.Fertiliser_Products_Data4(),FertiliserProducts[[#Headers],[Company]], 91)</f>
        <v>Phosphorus - Generic</v>
      </c>
      <c r="T192" s="192" cm="1">
        <f t="array" ref="T192">Common_InputFunctions.Utility_DisplayArrayInTable(Fertiliser_SourceData.Fertiliser_Products_Data4(),FertiliserProducts[[#Headers],[Company]], 91)</f>
        <v>6.3714000000000007E-2</v>
      </c>
      <c r="U192" s="192" t="str" cm="1">
        <f t="array" ref="U192">Common_InputFunctions.Utility_DisplayArrayInTable(Fertiliser_SourceData.Fertiliser_Products_Data4(),FertiliserProducts[[#Headers],[Company]], 91)</f>
        <v>Potassium - Generic</v>
      </c>
      <c r="V192" s="192" cm="1">
        <f t="array" ref="V192">Common_InputFunctions.Utility_DisplayArrayInTable(Fertiliser_SourceData.Fertiliser_Products_Data4(),FertiliserProducts[[#Headers],[Company]], 91)</f>
        <v>0.124515</v>
      </c>
      <c r="W192" s="192" t="str" cm="1">
        <f t="array" ref="W192">Common_InputFunctions.Utility_DisplayArrayInTable(Fertiliser_SourceData.Fertiliser_Products_Data4(),FertiliserProducts[[#Headers],[Company]], 91)</f>
        <v>Sulfur - Generic</v>
      </c>
      <c r="X192" s="192" cm="1">
        <f t="array" ref="X192">Common_InputFunctions.Utility_DisplayArrayInTable(Fertiliser_SourceData.Fertiliser_Products_Data4(),FertiliserProducts[[#Headers],[Company]], 91)</f>
        <v>2.5999999999999999E-2</v>
      </c>
      <c r="Y192" s="192" t="str" cm="1">
        <f t="array" ref="Y192">Common_InputFunctions.Utility_DisplayArrayInTable(Fertiliser_SourceData.Fertiliser_Products_Data4(),FertiliserProducts[[#Headers],[Company]], 91)</f>
        <v/>
      </c>
      <c r="Z192" s="192" t="str" cm="1">
        <f t="array" ref="Z192">Common_InputFunctions.Utility_DisplayArrayInTable(Fertiliser_SourceData.Fertiliser_Products_Data4(),FertiliserProducts[[#Headers],[Company]], 91)</f>
        <v/>
      </c>
      <c r="AA192" s="192" t="str" cm="1">
        <f t="array" ref="AA192">Common_InputFunctions.Utility_DisplayArrayInTable(Fertiliser_SourceData.Fertiliser_Products_Data4(),FertiliserProducts[[#Headers],[Company]], 91)</f>
        <v/>
      </c>
      <c r="AB192" s="192" t="str" cm="1">
        <f t="array" ref="AB192">Common_InputFunctions.Utility_DisplayArrayInTable(Fertiliser_SourceData.Fertiliser_Products_Data4(),FertiliserProducts[[#Headers],[Company]], 91)</f>
        <v/>
      </c>
      <c r="AC192" s="192" t="str" cm="1">
        <f t="array" ref="AC192">Common_InputFunctions.Utility_DisplayArrayInTable(Fertiliser_SourceData.Fertiliser_Products_Data4(),FertiliserProducts[[#Headers],[Company]], 91)</f>
        <v/>
      </c>
      <c r="AD192" s="192" t="str" cm="1">
        <f t="array" ref="AD192">Common_InputFunctions.Utility_DisplayArrayInTable(Fertiliser_SourceData.Fertiliser_Products_Data4(),FertiliserProducts[[#Headers],[Company]], 91)</f>
        <v/>
      </c>
      <c r="AE192" s="192" t="str" cm="1">
        <f t="array" ref="AE192">Common_InputFunctions.Utility_DisplayArrayInTable(Fertiliser_SourceData.Fertiliser_Products_Data4(),FertiliserProducts[[#Headers],[Company]], 91)</f>
        <v/>
      </c>
      <c r="AF192" s="192" t="str" cm="1">
        <f t="array" ref="AF192">Common_InputFunctions.Utility_DisplayArrayInTable(Fertiliser_SourceData.Fertiliser_Products_Data4(),FertiliserProducts[[#Headers],[Company]], 91)</f>
        <v/>
      </c>
      <c r="AG192" s="192" t="str" cm="1">
        <f t="array" ref="AG192">Common_InputFunctions.Utility_DisplayArrayInTable(Fertiliser_SourceData.Fertiliser_Products_Data4(),FertiliserProducts[[#Headers],[Company]], 91)</f>
        <v/>
      </c>
      <c r="AH192" s="192" t="str" cm="1">
        <f t="array" ref="AH192">Common_InputFunctions.Utility_DisplayArrayInTable(Fertiliser_SourceData.Fertiliser_Products_Data4(),FertiliserProducts[[#Headers],[Company]], 91)</f>
        <v/>
      </c>
    </row>
    <row r="193" spans="4:34" x14ac:dyDescent="0.25">
      <c r="D193" s="192" t="str" cm="1">
        <f t="array" ref="D193">Common_InputFunctions.Utility_DisplayArrayInTable(Fertiliser_SourceData.Fertiliser_Products_Data4(),FertiliserProducts[[#Headers],[Company]], 91)</f>
        <v>CSBP</v>
      </c>
      <c r="E193" s="192" t="str" cm="1">
        <f t="array" ref="E193">Common_InputFunctions.Utility_DisplayArrayInTable(Fertiliser_SourceData.Fertiliser_Products_Data4(),FertiliserProducts[[#Headers],[Company]], 91)</f>
        <v>Agflow Extra</v>
      </c>
      <c r="F193" s="192" t="str" cm="1">
        <f t="array" ref="F193">Common_InputFunctions.Utility_DisplayArrayInTable(Fertiliser_SourceData.Fertiliser_Products_Data4(),FertiliserProducts[[#Headers],[Company]], 91)</f>
        <v>kg</v>
      </c>
      <c r="G193" s="192" cm="1">
        <f t="array" ref="G193">Common_InputFunctions.Utility_DisplayArrayInTable(Fertiliser_SourceData.Fertiliser_Products_Data4(),FertiliserProducts[[#Headers],[Company]], 91)</f>
        <v>1</v>
      </c>
      <c r="H193" s="192" t="str" cm="1">
        <f t="array" ref="H193">Common_InputFunctions.Utility_DisplayArrayInTable(Fertiliser_SourceData.Fertiliser_Products_Data4(),FertiliserProducts[[#Headers],[Company]], 91)</f>
        <v/>
      </c>
      <c r="I193" s="192" t="str" cm="1">
        <f t="array" ref="I193">Common_InputFunctions.Utility_DisplayArrayInTable(Fertiliser_SourceData.Fertiliser_Products_Data4(),FertiliserProducts[[#Headers],[Company]], 91)</f>
        <v/>
      </c>
      <c r="J193" s="192" t="str" cm="1">
        <f t="array" ref="J193">Common_InputFunctions.Utility_DisplayArrayInTable(Fertiliser_SourceData.Fertiliser_Products_Data4(),FertiliserProducts[[#Headers],[Company]], 91)</f>
        <v/>
      </c>
      <c r="K193" s="192" cm="1">
        <f t="array" ref="K193">Common_InputFunctions.Utility_DisplayArrayInTable(Fertiliser_SourceData.Fertiliser_Products_Data4(),FertiliserProducts[[#Headers],[Company]], 91)</f>
        <v>11.15</v>
      </c>
      <c r="L193" s="192" cm="1">
        <f t="array" ref="L193">Common_InputFunctions.Utility_DisplayArrayInTable(Fertiliser_SourceData.Fertiliser_Products_Data4(),FertiliserProducts[[#Headers],[Company]], 91)</f>
        <v>17.52</v>
      </c>
      <c r="M193" s="192" t="str" cm="1">
        <f t="array" ref="M193">Common_InputFunctions.Utility_DisplayArrayInTable(Fertiliser_SourceData.Fertiliser_Products_Data4(),FertiliserProducts[[#Headers],[Company]], 91)</f>
        <v/>
      </c>
      <c r="N193" s="192" cm="1">
        <f t="array" ref="N193">Common_InputFunctions.Utility_DisplayArrayInTable(Fertiliser_SourceData.Fertiliser_Products_Data4(),FertiliserProducts[[#Headers],[Company]], 91)</f>
        <v>3.6</v>
      </c>
      <c r="O193" s="192" t="str" cm="1">
        <f t="array" ref="O193">Common_InputFunctions.Utility_DisplayArrayInTable(Fertiliser_SourceData.Fertiliser_Products_Data4(),FertiliserProducts[[#Headers],[Company]], 91)</f>
        <v>Monoammonium phosphate (MAP)</v>
      </c>
      <c r="P193" s="192" cm="1">
        <f t="array" ref="P193">Common_InputFunctions.Utility_DisplayArrayInTable(Fertiliser_SourceData.Fertiliser_Products_Data4(),FertiliserProducts[[#Headers],[Company]], 91)</f>
        <v>0.8</v>
      </c>
      <c r="Q193" s="192" t="str" cm="1">
        <f t="array" ref="Q193">Common_InputFunctions.Utility_DisplayArrayInTable(Fertiliser_SourceData.Fertiliser_Products_Data4(),FertiliserProducts[[#Headers],[Company]], 91)</f>
        <v>Sulphate of ammonia (SOA)</v>
      </c>
      <c r="R193" s="192" cm="1">
        <f t="array" ref="R193">Common_InputFunctions.Utility_DisplayArrayInTable(Fertiliser_SourceData.Fertiliser_Products_Data4(),FertiliserProducts[[#Headers],[Company]], 91)</f>
        <v>0.15</v>
      </c>
      <c r="S193" s="192" t="str" cm="1">
        <f t="array" ref="S193">Common_InputFunctions.Utility_DisplayArrayInTable(Fertiliser_SourceData.Fertiliser_Products_Data4(),FertiliserProducts[[#Headers],[Company]], 91)</f>
        <v>Copper</v>
      </c>
      <c r="T193" s="192" t="str" cm="1">
        <f t="array" ref="T193">Common_InputFunctions.Utility_DisplayArrayInTable(Fertiliser_SourceData.Fertiliser_Products_Data4(),FertiliserProducts[[#Headers],[Company]], 91)</f>
        <v>No data</v>
      </c>
      <c r="U193" s="192" t="str" cm="1">
        <f t="array" ref="U193">Common_InputFunctions.Utility_DisplayArrayInTable(Fertiliser_SourceData.Fertiliser_Products_Data4(),FertiliserProducts[[#Headers],[Company]], 91)</f>
        <v>Molybdenum</v>
      </c>
      <c r="V193" s="192" t="str" cm="1">
        <f t="array" ref="V193">Common_InputFunctions.Utility_DisplayArrayInTable(Fertiliser_SourceData.Fertiliser_Products_Data4(),FertiliserProducts[[#Headers],[Company]], 91)</f>
        <v>No data</v>
      </c>
      <c r="W193" s="192" t="str" cm="1">
        <f t="array" ref="W193">Common_InputFunctions.Utility_DisplayArrayInTable(Fertiliser_SourceData.Fertiliser_Products_Data4(),FertiliserProducts[[#Headers],[Company]], 91)</f>
        <v>Zinc</v>
      </c>
      <c r="X193" s="192" t="str" cm="1">
        <f t="array" ref="X193">Common_InputFunctions.Utility_DisplayArrayInTable(Fertiliser_SourceData.Fertiliser_Products_Data4(),FertiliserProducts[[#Headers],[Company]], 91)</f>
        <v>No data</v>
      </c>
      <c r="Y193" s="192" t="str" cm="1">
        <f t="array" ref="Y193">Common_InputFunctions.Utility_DisplayArrayInTable(Fertiliser_SourceData.Fertiliser_Products_Data4(),FertiliserProducts[[#Headers],[Company]], 91)</f>
        <v/>
      </c>
      <c r="Z193" s="192" t="str" cm="1">
        <f t="array" ref="Z193">Common_InputFunctions.Utility_DisplayArrayInTable(Fertiliser_SourceData.Fertiliser_Products_Data4(),FertiliserProducts[[#Headers],[Company]], 91)</f>
        <v/>
      </c>
      <c r="AA193" s="192" t="str" cm="1">
        <f t="array" ref="AA193">Common_InputFunctions.Utility_DisplayArrayInTable(Fertiliser_SourceData.Fertiliser_Products_Data4(),FertiliserProducts[[#Headers],[Company]], 91)</f>
        <v/>
      </c>
      <c r="AB193" s="192" t="str" cm="1">
        <f t="array" ref="AB193">Common_InputFunctions.Utility_DisplayArrayInTable(Fertiliser_SourceData.Fertiliser_Products_Data4(),FertiliserProducts[[#Headers],[Company]], 91)</f>
        <v/>
      </c>
      <c r="AC193" s="192" t="str" cm="1">
        <f t="array" ref="AC193">Common_InputFunctions.Utility_DisplayArrayInTable(Fertiliser_SourceData.Fertiliser_Products_Data4(),FertiliserProducts[[#Headers],[Company]], 91)</f>
        <v/>
      </c>
      <c r="AD193" s="192" t="str" cm="1">
        <f t="array" ref="AD193">Common_InputFunctions.Utility_DisplayArrayInTable(Fertiliser_SourceData.Fertiliser_Products_Data4(),FertiliserProducts[[#Headers],[Company]], 91)</f>
        <v/>
      </c>
      <c r="AE193" s="192" t="str" cm="1">
        <f t="array" ref="AE193">Common_InputFunctions.Utility_DisplayArrayInTable(Fertiliser_SourceData.Fertiliser_Products_Data4(),FertiliserProducts[[#Headers],[Company]], 91)</f>
        <v/>
      </c>
      <c r="AF193" s="192" t="str" cm="1">
        <f t="array" ref="AF193">Common_InputFunctions.Utility_DisplayArrayInTable(Fertiliser_SourceData.Fertiliser_Products_Data4(),FertiliserProducts[[#Headers],[Company]], 91)</f>
        <v/>
      </c>
      <c r="AG193" s="192" t="str" cm="1">
        <f t="array" ref="AG193">Common_InputFunctions.Utility_DisplayArrayInTable(Fertiliser_SourceData.Fertiliser_Products_Data4(),FertiliserProducts[[#Headers],[Company]], 91)</f>
        <v/>
      </c>
      <c r="AH193" s="192" t="str" cm="1">
        <f t="array" ref="AH193">Common_InputFunctions.Utility_DisplayArrayInTable(Fertiliser_SourceData.Fertiliser_Products_Data4(),FertiliserProducts[[#Headers],[Company]], 91)</f>
        <v/>
      </c>
    </row>
    <row r="194" spans="4:34" x14ac:dyDescent="0.25">
      <c r="D194" s="192" t="str" cm="1">
        <f t="array" ref="D194">Common_InputFunctions.Utility_DisplayArrayInTable(Fertiliser_SourceData.Fertiliser_Products_Data4(),FertiliserProducts[[#Headers],[Company]], 91)</f>
        <v>CSBP</v>
      </c>
      <c r="E194" s="192" t="str" cm="1">
        <f t="array" ref="E194">Common_InputFunctions.Utility_DisplayArrayInTable(Fertiliser_SourceData.Fertiliser_Products_Data4(),FertiliserProducts[[#Headers],[Company]], 91)</f>
        <v>Super &amp; Potash 3:1</v>
      </c>
      <c r="F194" s="192" t="str" cm="1">
        <f t="array" ref="F194">Common_InputFunctions.Utility_DisplayArrayInTable(Fertiliser_SourceData.Fertiliser_Products_Data4(),FertiliserProducts[[#Headers],[Company]], 91)</f>
        <v>kg</v>
      </c>
      <c r="G194" s="192" cm="1">
        <f t="array" ref="G194">Common_InputFunctions.Utility_DisplayArrayInTable(Fertiliser_SourceData.Fertiliser_Products_Data4(),FertiliserProducts[[#Headers],[Company]], 91)</f>
        <v>1</v>
      </c>
      <c r="H194" s="192" t="str" cm="1">
        <f t="array" ref="H194">Common_InputFunctions.Utility_DisplayArrayInTable(Fertiliser_SourceData.Fertiliser_Products_Data4(),FertiliserProducts[[#Headers],[Company]], 91)</f>
        <v/>
      </c>
      <c r="I194" s="192" t="str" cm="1">
        <f t="array" ref="I194">Common_InputFunctions.Utility_DisplayArrayInTable(Fertiliser_SourceData.Fertiliser_Products_Data4(),FertiliserProducts[[#Headers],[Company]], 91)</f>
        <v/>
      </c>
      <c r="J194" s="192" t="str" cm="1">
        <f t="array" ref="J194">Common_InputFunctions.Utility_DisplayArrayInTable(Fertiliser_SourceData.Fertiliser_Products_Data4(),FertiliserProducts[[#Headers],[Company]], 91)</f>
        <v/>
      </c>
      <c r="K194" s="192" t="str" cm="1">
        <f t="array" ref="K194">Common_InputFunctions.Utility_DisplayArrayInTable(Fertiliser_SourceData.Fertiliser_Products_Data4(),FertiliserProducts[[#Headers],[Company]], 91)</f>
        <v/>
      </c>
      <c r="L194" s="192" cm="1">
        <f t="array" ref="L194">Common_InputFunctions.Utility_DisplayArrayInTable(Fertiliser_SourceData.Fertiliser_Products_Data4(),FertiliserProducts[[#Headers],[Company]], 91)</f>
        <v>5.5</v>
      </c>
      <c r="M194" s="192" cm="1">
        <f t="array" ref="M194">Common_InputFunctions.Utility_DisplayArrayInTable(Fertiliser_SourceData.Fertiliser_Products_Data4(),FertiliserProducts[[#Headers],[Company]], 91)</f>
        <v>15</v>
      </c>
      <c r="N194" s="192" cm="1">
        <f t="array" ref="N194">Common_InputFunctions.Utility_DisplayArrayInTable(Fertiliser_SourceData.Fertiliser_Products_Data4(),FertiliserProducts[[#Headers],[Company]], 91)</f>
        <v>6.88</v>
      </c>
      <c r="O194" s="192" t="str" cm="1">
        <f t="array" ref="O194">Common_InputFunctions.Utility_DisplayArrayInTable(Fertiliser_SourceData.Fertiliser_Products_Data4(),FertiliserProducts[[#Headers],[Company]], 91)</f>
        <v>Single superphosphate (SSP)</v>
      </c>
      <c r="P194" s="192" cm="1">
        <f t="array" ref="P194">Common_InputFunctions.Utility_DisplayArrayInTable(Fertiliser_SourceData.Fertiliser_Products_Data4(),FertiliserProducts[[#Headers],[Company]], 91)</f>
        <v>0.625</v>
      </c>
      <c r="Q194" s="192" t="str" cm="1">
        <f t="array" ref="Q194">Common_InputFunctions.Utility_DisplayArrayInTable(Fertiliser_SourceData.Fertiliser_Products_Data4(),FertiliserProducts[[#Headers],[Company]], 91)</f>
        <v>Muriate of potash (MOP)</v>
      </c>
      <c r="R194" s="192" cm="1">
        <f t="array" ref="R194">Common_InputFunctions.Utility_DisplayArrayInTable(Fertiliser_SourceData.Fertiliser_Products_Data4(),FertiliserProducts[[#Headers],[Company]], 91)</f>
        <v>0.3</v>
      </c>
      <c r="S194" s="192" t="str" cm="1">
        <f t="array" ref="S194">Common_InputFunctions.Utility_DisplayArrayInTable(Fertiliser_SourceData.Fertiliser_Products_Data4(),FertiliserProducts[[#Headers],[Company]], 91)</f>
        <v/>
      </c>
      <c r="T194" s="192" t="str" cm="1">
        <f t="array" ref="T194">Common_InputFunctions.Utility_DisplayArrayInTable(Fertiliser_SourceData.Fertiliser_Products_Data4(),FertiliserProducts[[#Headers],[Company]], 91)</f>
        <v/>
      </c>
      <c r="U194" s="192" t="str" cm="1">
        <f t="array" ref="U194">Common_InputFunctions.Utility_DisplayArrayInTable(Fertiliser_SourceData.Fertiliser_Products_Data4(),FertiliserProducts[[#Headers],[Company]], 91)</f>
        <v/>
      </c>
      <c r="V194" s="192" t="str" cm="1">
        <f t="array" ref="V194">Common_InputFunctions.Utility_DisplayArrayInTable(Fertiliser_SourceData.Fertiliser_Products_Data4(),FertiliserProducts[[#Headers],[Company]], 91)</f>
        <v/>
      </c>
      <c r="W194" s="192" t="str" cm="1">
        <f t="array" ref="W194">Common_InputFunctions.Utility_DisplayArrayInTable(Fertiliser_SourceData.Fertiliser_Products_Data4(),FertiliserProducts[[#Headers],[Company]], 91)</f>
        <v/>
      </c>
      <c r="X194" s="192" t="str" cm="1">
        <f t="array" ref="X194">Common_InputFunctions.Utility_DisplayArrayInTable(Fertiliser_SourceData.Fertiliser_Products_Data4(),FertiliserProducts[[#Headers],[Company]], 91)</f>
        <v/>
      </c>
      <c r="Y194" s="192" t="str" cm="1">
        <f t="array" ref="Y194">Common_InputFunctions.Utility_DisplayArrayInTable(Fertiliser_SourceData.Fertiliser_Products_Data4(),FertiliserProducts[[#Headers],[Company]], 91)</f>
        <v/>
      </c>
      <c r="Z194" s="192" t="str" cm="1">
        <f t="array" ref="Z194">Common_InputFunctions.Utility_DisplayArrayInTable(Fertiliser_SourceData.Fertiliser_Products_Data4(),FertiliserProducts[[#Headers],[Company]], 91)</f>
        <v/>
      </c>
      <c r="AA194" s="192" t="str" cm="1">
        <f t="array" ref="AA194">Common_InputFunctions.Utility_DisplayArrayInTable(Fertiliser_SourceData.Fertiliser_Products_Data4(),FertiliserProducts[[#Headers],[Company]], 91)</f>
        <v/>
      </c>
      <c r="AB194" s="192" t="str" cm="1">
        <f t="array" ref="AB194">Common_InputFunctions.Utility_DisplayArrayInTable(Fertiliser_SourceData.Fertiliser_Products_Data4(),FertiliserProducts[[#Headers],[Company]], 91)</f>
        <v/>
      </c>
      <c r="AC194" s="192" t="str" cm="1">
        <f t="array" ref="AC194">Common_InputFunctions.Utility_DisplayArrayInTable(Fertiliser_SourceData.Fertiliser_Products_Data4(),FertiliserProducts[[#Headers],[Company]], 91)</f>
        <v/>
      </c>
      <c r="AD194" s="192" t="str" cm="1">
        <f t="array" ref="AD194">Common_InputFunctions.Utility_DisplayArrayInTable(Fertiliser_SourceData.Fertiliser_Products_Data4(),FertiliserProducts[[#Headers],[Company]], 91)</f>
        <v/>
      </c>
      <c r="AE194" s="192" t="str" cm="1">
        <f t="array" ref="AE194">Common_InputFunctions.Utility_DisplayArrayInTable(Fertiliser_SourceData.Fertiliser_Products_Data4(),FertiliserProducts[[#Headers],[Company]], 91)</f>
        <v/>
      </c>
      <c r="AF194" s="192" t="str" cm="1">
        <f t="array" ref="AF194">Common_InputFunctions.Utility_DisplayArrayInTable(Fertiliser_SourceData.Fertiliser_Products_Data4(),FertiliserProducts[[#Headers],[Company]], 91)</f>
        <v/>
      </c>
      <c r="AG194" s="192" t="str" cm="1">
        <f t="array" ref="AG194">Common_InputFunctions.Utility_DisplayArrayInTable(Fertiliser_SourceData.Fertiliser_Products_Data4(),FertiliserProducts[[#Headers],[Company]], 91)</f>
        <v/>
      </c>
      <c r="AH194" s="192" t="str" cm="1">
        <f t="array" ref="AH194">Common_InputFunctions.Utility_DisplayArrayInTable(Fertiliser_SourceData.Fertiliser_Products_Data4(),FertiliserProducts[[#Headers],[Company]], 91)</f>
        <v/>
      </c>
    </row>
    <row r="195" spans="4:34" x14ac:dyDescent="0.25">
      <c r="D195" s="192" t="str" cm="1">
        <f t="array" ref="D195">Common_InputFunctions.Utility_DisplayArrayInTable(Fertiliser_SourceData.Fertiliser_Products_Data4(),FertiliserProducts[[#Headers],[Company]], 91)</f>
        <v>Yara</v>
      </c>
      <c r="E195" s="192" t="str" cm="1">
        <f t="array" ref="E195">Common_InputFunctions.Utility_DisplayArrayInTable(Fertiliser_SourceData.Fertiliser_Products_Data4(),FertiliserProducts[[#Headers],[Company]], 91)</f>
        <v>YaraBela CAN-27</v>
      </c>
      <c r="F195" s="192" t="str" cm="1">
        <f t="array" ref="F195">Common_InputFunctions.Utility_DisplayArrayInTable(Fertiliser_SourceData.Fertiliser_Products_Data4(),FertiliserProducts[[#Headers],[Company]], 91)</f>
        <v>kg</v>
      </c>
      <c r="G195" s="192" cm="1">
        <f t="array" ref="G195">Common_InputFunctions.Utility_DisplayArrayInTable(Fertiliser_SourceData.Fertiliser_Products_Data4(),FertiliserProducts[[#Headers],[Company]], 91)</f>
        <v>1</v>
      </c>
      <c r="H195" s="192" t="str" cm="1">
        <f t="array" ref="H195">Common_InputFunctions.Utility_DisplayArrayInTable(Fertiliser_SourceData.Fertiliser_Products_Data4(),FertiliserProducts[[#Headers],[Company]], 91)</f>
        <v/>
      </c>
      <c r="I195" s="192" t="str" cm="1">
        <f t="array" ref="I195">Common_InputFunctions.Utility_DisplayArrayInTable(Fertiliser_SourceData.Fertiliser_Products_Data4(),FertiliserProducts[[#Headers],[Company]], 91)</f>
        <v/>
      </c>
      <c r="J195" s="192" t="str" cm="1">
        <f t="array" ref="J195">Common_InputFunctions.Utility_DisplayArrayInTable(Fertiliser_SourceData.Fertiliser_Products_Data4(),FertiliserProducts[[#Headers],[Company]], 91)</f>
        <v/>
      </c>
      <c r="K195" s="192" cm="1">
        <f t="array" ref="K195">Common_InputFunctions.Utility_DisplayArrayInTable(Fertiliser_SourceData.Fertiliser_Products_Data4(),FertiliserProducts[[#Headers],[Company]], 91)</f>
        <v>27</v>
      </c>
      <c r="L195" s="192" t="str" cm="1">
        <f t="array" ref="L195">Common_InputFunctions.Utility_DisplayArrayInTable(Fertiliser_SourceData.Fertiliser_Products_Data4(),FertiliserProducts[[#Headers],[Company]], 91)</f>
        <v/>
      </c>
      <c r="M195" s="192" t="str" cm="1">
        <f t="array" ref="M195">Common_InputFunctions.Utility_DisplayArrayInTable(Fertiliser_SourceData.Fertiliser_Products_Data4(),FertiliserProducts[[#Headers],[Company]], 91)</f>
        <v/>
      </c>
      <c r="N195" s="192" t="str" cm="1">
        <f t="array" ref="N195">Common_InputFunctions.Utility_DisplayArrayInTable(Fertiliser_SourceData.Fertiliser_Products_Data4(),FertiliserProducts[[#Headers],[Company]], 91)</f>
        <v/>
      </c>
      <c r="O195" s="192" t="str" cm="1">
        <f t="array" ref="O195">Common_InputFunctions.Utility_DisplayArrayInTable(Fertiliser_SourceData.Fertiliser_Products_Data4(),FertiliserProducts[[#Headers],[Company]], 91)</f>
        <v>Calcium ammonium nitrate (CAN)</v>
      </c>
      <c r="P195" s="192" cm="1">
        <f t="array" ref="P195">Common_InputFunctions.Utility_DisplayArrayInTable(Fertiliser_SourceData.Fertiliser_Products_Data4(),FertiliserProducts[[#Headers],[Company]], 91)</f>
        <v>1</v>
      </c>
      <c r="Q195" s="192" t="str" cm="1">
        <f t="array" ref="Q195">Common_InputFunctions.Utility_DisplayArrayInTable(Fertiliser_SourceData.Fertiliser_Products_Data4(),FertiliserProducts[[#Headers],[Company]], 91)</f>
        <v/>
      </c>
      <c r="R195" s="192" t="str" cm="1">
        <f t="array" ref="R195">Common_InputFunctions.Utility_DisplayArrayInTable(Fertiliser_SourceData.Fertiliser_Products_Data4(),FertiliserProducts[[#Headers],[Company]], 91)</f>
        <v/>
      </c>
      <c r="S195" s="192" t="str" cm="1">
        <f t="array" ref="S195">Common_InputFunctions.Utility_DisplayArrayInTable(Fertiliser_SourceData.Fertiliser_Products_Data4(),FertiliserProducts[[#Headers],[Company]], 91)</f>
        <v/>
      </c>
      <c r="T195" s="192" t="str" cm="1">
        <f t="array" ref="T195">Common_InputFunctions.Utility_DisplayArrayInTable(Fertiliser_SourceData.Fertiliser_Products_Data4(),FertiliserProducts[[#Headers],[Company]], 91)</f>
        <v/>
      </c>
      <c r="U195" s="192" t="str" cm="1">
        <f t="array" ref="U195">Common_InputFunctions.Utility_DisplayArrayInTable(Fertiliser_SourceData.Fertiliser_Products_Data4(),FertiliserProducts[[#Headers],[Company]], 91)</f>
        <v/>
      </c>
      <c r="V195" s="192" t="str" cm="1">
        <f t="array" ref="V195">Common_InputFunctions.Utility_DisplayArrayInTable(Fertiliser_SourceData.Fertiliser_Products_Data4(),FertiliserProducts[[#Headers],[Company]], 91)</f>
        <v/>
      </c>
      <c r="W195" s="192" t="str" cm="1">
        <f t="array" ref="W195">Common_InputFunctions.Utility_DisplayArrayInTable(Fertiliser_SourceData.Fertiliser_Products_Data4(),FertiliserProducts[[#Headers],[Company]], 91)</f>
        <v/>
      </c>
      <c r="X195" s="192" t="str" cm="1">
        <f t="array" ref="X195">Common_InputFunctions.Utility_DisplayArrayInTable(Fertiliser_SourceData.Fertiliser_Products_Data4(),FertiliserProducts[[#Headers],[Company]], 91)</f>
        <v/>
      </c>
      <c r="Y195" s="192" t="str" cm="1">
        <f t="array" ref="Y195">Common_InputFunctions.Utility_DisplayArrayInTable(Fertiliser_SourceData.Fertiliser_Products_Data4(),FertiliserProducts[[#Headers],[Company]], 91)</f>
        <v/>
      </c>
      <c r="Z195" s="192" t="str" cm="1">
        <f t="array" ref="Z195">Common_InputFunctions.Utility_DisplayArrayInTable(Fertiliser_SourceData.Fertiliser_Products_Data4(),FertiliserProducts[[#Headers],[Company]], 91)</f>
        <v/>
      </c>
      <c r="AA195" s="192" t="str" cm="1">
        <f t="array" ref="AA195">Common_InputFunctions.Utility_DisplayArrayInTable(Fertiliser_SourceData.Fertiliser_Products_Data4(),FertiliserProducts[[#Headers],[Company]], 91)</f>
        <v/>
      </c>
      <c r="AB195" s="192" t="str" cm="1">
        <f t="array" ref="AB195">Common_InputFunctions.Utility_DisplayArrayInTable(Fertiliser_SourceData.Fertiliser_Products_Data4(),FertiliserProducts[[#Headers],[Company]], 91)</f>
        <v/>
      </c>
      <c r="AC195" s="192" t="str" cm="1">
        <f t="array" ref="AC195">Common_InputFunctions.Utility_DisplayArrayInTable(Fertiliser_SourceData.Fertiliser_Products_Data4(),FertiliserProducts[[#Headers],[Company]], 91)</f>
        <v/>
      </c>
      <c r="AD195" s="192" t="str" cm="1">
        <f t="array" ref="AD195">Common_InputFunctions.Utility_DisplayArrayInTable(Fertiliser_SourceData.Fertiliser_Products_Data4(),FertiliserProducts[[#Headers],[Company]], 91)</f>
        <v/>
      </c>
      <c r="AE195" s="192" t="str" cm="1">
        <f t="array" ref="AE195">Common_InputFunctions.Utility_DisplayArrayInTable(Fertiliser_SourceData.Fertiliser_Products_Data4(),FertiliserProducts[[#Headers],[Company]], 91)</f>
        <v/>
      </c>
      <c r="AF195" s="192" t="str" cm="1">
        <f t="array" ref="AF195">Common_InputFunctions.Utility_DisplayArrayInTable(Fertiliser_SourceData.Fertiliser_Products_Data4(),FertiliserProducts[[#Headers],[Company]], 91)</f>
        <v/>
      </c>
      <c r="AG195" s="192" t="str" cm="1">
        <f t="array" ref="AG195">Common_InputFunctions.Utility_DisplayArrayInTable(Fertiliser_SourceData.Fertiliser_Products_Data4(),FertiliserProducts[[#Headers],[Company]], 91)</f>
        <v/>
      </c>
      <c r="AH195" s="192" t="str" cm="1">
        <f t="array" ref="AH195">Common_InputFunctions.Utility_DisplayArrayInTable(Fertiliser_SourceData.Fertiliser_Products_Data4(),FertiliserProducts[[#Headers],[Company]], 91)</f>
        <v/>
      </c>
    </row>
    <row r="196" spans="4:34" x14ac:dyDescent="0.25">
      <c r="D196" s="192" t="str" cm="1">
        <f t="array" ref="D196">Common_InputFunctions.Utility_DisplayArrayInTable(Fertiliser_SourceData.Fertiliser_Products_Data4(),FertiliserProducts[[#Headers],[Company]], 91)</f>
        <v>Incitec Pivot Fertilisers</v>
      </c>
      <c r="E196" s="192" t="str" cm="1">
        <f t="array" ref="E196">Common_InputFunctions.Utility_DisplayArrayInTable(Fertiliser_SourceData.Fertiliser_Products_Data4(),FertiliserProducts[[#Headers],[Company]], 91)</f>
        <v>Cal-Gran Aftergraze</v>
      </c>
      <c r="F196" s="192" t="str" cm="1">
        <f t="array" ref="F196">Common_InputFunctions.Utility_DisplayArrayInTable(Fertiliser_SourceData.Fertiliser_Products_Data4(),FertiliserProducts[[#Headers],[Company]], 91)</f>
        <v>kg</v>
      </c>
      <c r="G196" s="192" cm="1">
        <f t="array" ref="G196">Common_InputFunctions.Utility_DisplayArrayInTable(Fertiliser_SourceData.Fertiliser_Products_Data4(),FertiliserProducts[[#Headers],[Company]], 91)</f>
        <v>1</v>
      </c>
      <c r="H196" s="192" t="str" cm="1">
        <f t="array" ref="H196">Common_InputFunctions.Utility_DisplayArrayInTable(Fertiliser_SourceData.Fertiliser_Products_Data4(),FertiliserProducts[[#Headers],[Company]], 91)</f>
        <v/>
      </c>
      <c r="I196" s="192" t="str" cm="1">
        <f t="array" ref="I196">Common_InputFunctions.Utility_DisplayArrayInTable(Fertiliser_SourceData.Fertiliser_Products_Data4(),FertiliserProducts[[#Headers],[Company]], 91)</f>
        <v/>
      </c>
      <c r="J196" s="192" t="str" cm="1">
        <f t="array" ref="J196">Common_InputFunctions.Utility_DisplayArrayInTable(Fertiliser_SourceData.Fertiliser_Products_Data4(),FertiliserProducts[[#Headers],[Company]], 91)</f>
        <v/>
      </c>
      <c r="K196" s="192" cm="1">
        <f t="array" ref="K196">Common_InputFunctions.Utility_DisplayArrayInTable(Fertiliser_SourceData.Fertiliser_Products_Data4(),FertiliserProducts[[#Headers],[Company]], 91)</f>
        <v>20.6</v>
      </c>
      <c r="L196" s="192" cm="1">
        <f t="array" ref="L196">Common_InputFunctions.Utility_DisplayArrayInTable(Fertiliser_SourceData.Fertiliser_Products_Data4(),FertiliserProducts[[#Headers],[Company]], 91)</f>
        <v>3</v>
      </c>
      <c r="M196" s="192" cm="1">
        <f t="array" ref="M196">Common_InputFunctions.Utility_DisplayArrayInTable(Fertiliser_SourceData.Fertiliser_Products_Data4(),FertiliserProducts[[#Headers],[Company]], 91)</f>
        <v>7.5</v>
      </c>
      <c r="N196" s="192" cm="1">
        <f t="array" ref="N196">Common_InputFunctions.Utility_DisplayArrayInTable(Fertiliser_SourceData.Fertiliser_Products_Data4(),FertiliserProducts[[#Headers],[Company]], 91)</f>
        <v>3.8</v>
      </c>
      <c r="O196" s="192" t="str" cm="1">
        <f t="array" ref="O196">Common_InputFunctions.Utility_DisplayArrayInTable(Fertiliser_SourceData.Fertiliser_Products_Data4(),FertiliserProducts[[#Headers],[Company]], 91)</f>
        <v>Nitrogen - Nitrate</v>
      </c>
      <c r="P196" s="192" cm="1">
        <f t="array" ref="P196">Common_InputFunctions.Utility_DisplayArrayInTable(Fertiliser_SourceData.Fertiliser_Products_Data4(),FertiliserProducts[[#Headers],[Company]], 91)</f>
        <v>6.4000000000000001E-2</v>
      </c>
      <c r="Q196" s="192" t="str" cm="1">
        <f t="array" ref="Q196">Common_InputFunctions.Utility_DisplayArrayInTable(Fertiliser_SourceData.Fertiliser_Products_Data4(),FertiliserProducts[[#Headers],[Company]], 91)</f>
        <v>Nitrogen - Ammoniacal</v>
      </c>
      <c r="R196" s="192" cm="1">
        <f t="array" ref="R196">Common_InputFunctions.Utility_DisplayArrayInTable(Fertiliser_SourceData.Fertiliser_Products_Data4(),FertiliserProducts[[#Headers],[Company]], 91)</f>
        <v>0.14199999999999999</v>
      </c>
      <c r="S196" s="192" t="str" cm="1">
        <f t="array" ref="S196">Common_InputFunctions.Utility_DisplayArrayInTable(Fertiliser_SourceData.Fertiliser_Products_Data4(),FertiliserProducts[[#Headers],[Company]], 91)</f>
        <v>Phosphorus - Generic</v>
      </c>
      <c r="T196" s="192" cm="1">
        <f t="array" ref="T196">Common_InputFunctions.Utility_DisplayArrayInTable(Fertiliser_SourceData.Fertiliser_Products_Data4(),FertiliserProducts[[#Headers],[Company]], 91)</f>
        <v>0.03</v>
      </c>
      <c r="U196" s="192" t="str" cm="1">
        <f t="array" ref="U196">Common_InputFunctions.Utility_DisplayArrayInTable(Fertiliser_SourceData.Fertiliser_Products_Data4(),FertiliserProducts[[#Headers],[Company]], 91)</f>
        <v>Potassium - Generic</v>
      </c>
      <c r="V196" s="192" cm="1">
        <f t="array" ref="V196">Common_InputFunctions.Utility_DisplayArrayInTable(Fertiliser_SourceData.Fertiliser_Products_Data4(),FertiliserProducts[[#Headers],[Company]], 91)</f>
        <v>7.4999999999999997E-2</v>
      </c>
      <c r="W196" s="192" t="str" cm="1">
        <f t="array" ref="W196">Common_InputFunctions.Utility_DisplayArrayInTable(Fertiliser_SourceData.Fertiliser_Products_Data4(),FertiliserProducts[[#Headers],[Company]], 91)</f>
        <v>Sulfur - Generic</v>
      </c>
      <c r="X196" s="192" cm="1">
        <f t="array" ref="X196">Common_InputFunctions.Utility_DisplayArrayInTable(Fertiliser_SourceData.Fertiliser_Products_Data4(),FertiliserProducts[[#Headers],[Company]], 91)</f>
        <v>3.7999999999999999E-2</v>
      </c>
      <c r="Y196" s="192" t="str" cm="1">
        <f t="array" ref="Y196">Common_InputFunctions.Utility_DisplayArrayInTable(Fertiliser_SourceData.Fertiliser_Products_Data4(),FertiliserProducts[[#Headers],[Company]], 91)</f>
        <v>Calcium</v>
      </c>
      <c r="Z196" s="192" cm="1">
        <f t="array" ref="Z196">Common_InputFunctions.Utility_DisplayArrayInTable(Fertiliser_SourceData.Fertiliser_Products_Data4(),FertiliserProducts[[#Headers],[Company]], 91)</f>
        <v>4.3999999999999997E-2</v>
      </c>
      <c r="AA196" s="192" t="str" cm="1">
        <f t="array" ref="AA196">Common_InputFunctions.Utility_DisplayArrayInTable(Fertiliser_SourceData.Fertiliser_Products_Data4(),FertiliserProducts[[#Headers],[Company]], 91)</f>
        <v/>
      </c>
      <c r="AB196" s="192" t="str" cm="1">
        <f t="array" ref="AB196">Common_InputFunctions.Utility_DisplayArrayInTable(Fertiliser_SourceData.Fertiliser_Products_Data4(),FertiliserProducts[[#Headers],[Company]], 91)</f>
        <v/>
      </c>
      <c r="AC196" s="192" t="str" cm="1">
        <f t="array" ref="AC196">Common_InputFunctions.Utility_DisplayArrayInTable(Fertiliser_SourceData.Fertiliser_Products_Data4(),FertiliserProducts[[#Headers],[Company]], 91)</f>
        <v/>
      </c>
      <c r="AD196" s="192" t="str" cm="1">
        <f t="array" ref="AD196">Common_InputFunctions.Utility_DisplayArrayInTable(Fertiliser_SourceData.Fertiliser_Products_Data4(),FertiliserProducts[[#Headers],[Company]], 91)</f>
        <v/>
      </c>
      <c r="AE196" s="192" t="str" cm="1">
        <f t="array" ref="AE196">Common_InputFunctions.Utility_DisplayArrayInTable(Fertiliser_SourceData.Fertiliser_Products_Data4(),FertiliserProducts[[#Headers],[Company]], 91)</f>
        <v/>
      </c>
      <c r="AF196" s="192" t="str" cm="1">
        <f t="array" ref="AF196">Common_InputFunctions.Utility_DisplayArrayInTable(Fertiliser_SourceData.Fertiliser_Products_Data4(),FertiliserProducts[[#Headers],[Company]], 91)</f>
        <v/>
      </c>
      <c r="AG196" s="192" t="str" cm="1">
        <f t="array" ref="AG196">Common_InputFunctions.Utility_DisplayArrayInTable(Fertiliser_SourceData.Fertiliser_Products_Data4(),FertiliserProducts[[#Headers],[Company]], 91)</f>
        <v/>
      </c>
      <c r="AH196" s="192" t="str" cm="1">
        <f t="array" ref="AH196">Common_InputFunctions.Utility_DisplayArrayInTable(Fertiliser_SourceData.Fertiliser_Products_Data4(),FertiliserProducts[[#Headers],[Company]], 91)</f>
        <v/>
      </c>
    </row>
    <row r="197" spans="4:34" x14ac:dyDescent="0.25">
      <c r="D197" s="192" t="str" cm="1">
        <f t="array" ref="D197">Common_InputFunctions.Utility_DisplayArrayInTable(Fertiliser_SourceData.Fertiliser_Products_Data4(),FertiliserProducts[[#Headers],[Company]], 91)</f>
        <v>Incitec Pivot Fertilisers</v>
      </c>
      <c r="E197" s="192" t="str" cm="1">
        <f t="array" ref="E197">Common_InputFunctions.Utility_DisplayArrayInTable(Fertiliser_SourceData.Fertiliser_Products_Data4(),FertiliserProducts[[#Headers],[Company]], 91)</f>
        <v>Cal-Gran Prodress</v>
      </c>
      <c r="F197" s="192" t="str" cm="1">
        <f t="array" ref="F197">Common_InputFunctions.Utility_DisplayArrayInTable(Fertiliser_SourceData.Fertiliser_Products_Data4(),FertiliserProducts[[#Headers],[Company]], 91)</f>
        <v>kg</v>
      </c>
      <c r="G197" s="192" cm="1">
        <f t="array" ref="G197">Common_InputFunctions.Utility_DisplayArrayInTable(Fertiliser_SourceData.Fertiliser_Products_Data4(),FertiliserProducts[[#Headers],[Company]], 91)</f>
        <v>1</v>
      </c>
      <c r="H197" s="192" t="str" cm="1">
        <f t="array" ref="H197">Common_InputFunctions.Utility_DisplayArrayInTable(Fertiliser_SourceData.Fertiliser_Products_Data4(),FertiliserProducts[[#Headers],[Company]], 91)</f>
        <v/>
      </c>
      <c r="I197" s="192" t="str" cm="1">
        <f t="array" ref="I197">Common_InputFunctions.Utility_DisplayArrayInTable(Fertiliser_SourceData.Fertiliser_Products_Data4(),FertiliserProducts[[#Headers],[Company]], 91)</f>
        <v/>
      </c>
      <c r="J197" s="192" t="str" cm="1">
        <f t="array" ref="J197">Common_InputFunctions.Utility_DisplayArrayInTable(Fertiliser_SourceData.Fertiliser_Products_Data4(),FertiliserProducts[[#Headers],[Company]], 91)</f>
        <v/>
      </c>
      <c r="K197" s="192" cm="1">
        <f t="array" ref="K197">Common_InputFunctions.Utility_DisplayArrayInTable(Fertiliser_SourceData.Fertiliser_Products_Data4(),FertiliserProducts[[#Headers],[Company]], 91)</f>
        <v>17.8</v>
      </c>
      <c r="L197" s="192" cm="1">
        <f t="array" ref="L197">Common_InputFunctions.Utility_DisplayArrayInTable(Fertiliser_SourceData.Fertiliser_Products_Data4(),FertiliserProducts[[#Headers],[Company]], 91)</f>
        <v>1</v>
      </c>
      <c r="M197" s="192" cm="1">
        <f t="array" ref="M197">Common_InputFunctions.Utility_DisplayArrayInTable(Fertiliser_SourceData.Fertiliser_Products_Data4(),FertiliserProducts[[#Headers],[Company]], 91)</f>
        <v>15</v>
      </c>
      <c r="N197" s="192" cm="1">
        <f t="array" ref="N197">Common_InputFunctions.Utility_DisplayArrayInTable(Fertiliser_SourceData.Fertiliser_Products_Data4(),FertiliserProducts[[#Headers],[Company]], 91)</f>
        <v>2.5</v>
      </c>
      <c r="O197" s="192" t="str" cm="1">
        <f t="array" ref="O197">Common_InputFunctions.Utility_DisplayArrayInTable(Fertiliser_SourceData.Fertiliser_Products_Data4(),FertiliserProducts[[#Headers],[Company]], 91)</f>
        <v>Nitrogen - Nitrate</v>
      </c>
      <c r="P197" s="192" cm="1">
        <f t="array" ref="P197">Common_InputFunctions.Utility_DisplayArrayInTable(Fertiliser_SourceData.Fertiliser_Products_Data4(),FertiliserProducts[[#Headers],[Company]], 91)</f>
        <v>5.5E-2</v>
      </c>
      <c r="Q197" s="192" t="str" cm="1">
        <f t="array" ref="Q197">Common_InputFunctions.Utility_DisplayArrayInTable(Fertiliser_SourceData.Fertiliser_Products_Data4(),FertiliserProducts[[#Headers],[Company]], 91)</f>
        <v>Nitrogen - Ammoniacal</v>
      </c>
      <c r="R197" s="192" cm="1">
        <f t="array" ref="R197">Common_InputFunctions.Utility_DisplayArrayInTable(Fertiliser_SourceData.Fertiliser_Products_Data4(),FertiliserProducts[[#Headers],[Company]], 91)</f>
        <v>0.123</v>
      </c>
      <c r="S197" s="192" t="str" cm="1">
        <f t="array" ref="S197">Common_InputFunctions.Utility_DisplayArrayInTable(Fertiliser_SourceData.Fertiliser_Products_Data4(),FertiliserProducts[[#Headers],[Company]], 91)</f>
        <v>Phosphorus - Generic</v>
      </c>
      <c r="T197" s="192" cm="1">
        <f t="array" ref="T197">Common_InputFunctions.Utility_DisplayArrayInTable(Fertiliser_SourceData.Fertiliser_Products_Data4(),FertiliserProducts[[#Headers],[Company]], 91)</f>
        <v>0.01</v>
      </c>
      <c r="U197" s="192" t="str" cm="1">
        <f t="array" ref="U197">Common_InputFunctions.Utility_DisplayArrayInTable(Fertiliser_SourceData.Fertiliser_Products_Data4(),FertiliserProducts[[#Headers],[Company]], 91)</f>
        <v>Potassium - Generic</v>
      </c>
      <c r="V197" s="192" cm="1">
        <f t="array" ref="V197">Common_InputFunctions.Utility_DisplayArrayInTable(Fertiliser_SourceData.Fertiliser_Products_Data4(),FertiliserProducts[[#Headers],[Company]], 91)</f>
        <v>0.15</v>
      </c>
      <c r="W197" s="192" t="str" cm="1">
        <f t="array" ref="W197">Common_InputFunctions.Utility_DisplayArrayInTable(Fertiliser_SourceData.Fertiliser_Products_Data4(),FertiliserProducts[[#Headers],[Company]], 91)</f>
        <v>Sulfur - Generic</v>
      </c>
      <c r="X197" s="192" cm="1">
        <f t="array" ref="X197">Common_InputFunctions.Utility_DisplayArrayInTable(Fertiliser_SourceData.Fertiliser_Products_Data4(),FertiliserProducts[[#Headers],[Company]], 91)</f>
        <v>2.5000000000000001E-2</v>
      </c>
      <c r="Y197" s="192" t="str" cm="1">
        <f t="array" ref="Y197">Common_InputFunctions.Utility_DisplayArrayInTable(Fertiliser_SourceData.Fertiliser_Products_Data4(),FertiliserProducts[[#Headers],[Company]], 91)</f>
        <v>Calcium</v>
      </c>
      <c r="Z197" s="192" cm="1">
        <f t="array" ref="Z197">Common_InputFunctions.Utility_DisplayArrayInTable(Fertiliser_SourceData.Fertiliser_Products_Data4(),FertiliserProducts[[#Headers],[Company]], 91)</f>
        <v>4.3999999999999997E-2</v>
      </c>
      <c r="AA197" s="192" t="str" cm="1">
        <f t="array" ref="AA197">Common_InputFunctions.Utility_DisplayArrayInTable(Fertiliser_SourceData.Fertiliser_Products_Data4(),FertiliserProducts[[#Headers],[Company]], 91)</f>
        <v/>
      </c>
      <c r="AB197" s="192" t="str" cm="1">
        <f t="array" ref="AB197">Common_InputFunctions.Utility_DisplayArrayInTable(Fertiliser_SourceData.Fertiliser_Products_Data4(),FertiliserProducts[[#Headers],[Company]], 91)</f>
        <v/>
      </c>
      <c r="AC197" s="192" t="str" cm="1">
        <f t="array" ref="AC197">Common_InputFunctions.Utility_DisplayArrayInTable(Fertiliser_SourceData.Fertiliser_Products_Data4(),FertiliserProducts[[#Headers],[Company]], 91)</f>
        <v/>
      </c>
      <c r="AD197" s="192" t="str" cm="1">
        <f t="array" ref="AD197">Common_InputFunctions.Utility_DisplayArrayInTable(Fertiliser_SourceData.Fertiliser_Products_Data4(),FertiliserProducts[[#Headers],[Company]], 91)</f>
        <v/>
      </c>
      <c r="AE197" s="192" t="str" cm="1">
        <f t="array" ref="AE197">Common_InputFunctions.Utility_DisplayArrayInTable(Fertiliser_SourceData.Fertiliser_Products_Data4(),FertiliserProducts[[#Headers],[Company]], 91)</f>
        <v/>
      </c>
      <c r="AF197" s="192" t="str" cm="1">
        <f t="array" ref="AF197">Common_InputFunctions.Utility_DisplayArrayInTable(Fertiliser_SourceData.Fertiliser_Products_Data4(),FertiliserProducts[[#Headers],[Company]], 91)</f>
        <v/>
      </c>
      <c r="AG197" s="192" t="str" cm="1">
        <f t="array" ref="AG197">Common_InputFunctions.Utility_DisplayArrayInTable(Fertiliser_SourceData.Fertiliser_Products_Data4(),FertiliserProducts[[#Headers],[Company]], 91)</f>
        <v/>
      </c>
      <c r="AH197" s="192" t="str" cm="1">
        <f t="array" ref="AH197">Common_InputFunctions.Utility_DisplayArrayInTable(Fertiliser_SourceData.Fertiliser_Products_Data4(),FertiliserProducts[[#Headers],[Company]], 91)</f>
        <v/>
      </c>
    </row>
    <row r="198" spans="4:34" x14ac:dyDescent="0.25">
      <c r="D198" s="192" t="str" cm="1">
        <f t="array" ref="D198">Common_InputFunctions.Utility_DisplayArrayInTable(Fertiliser_SourceData.Fertiliser_Products_Data4(),FertiliserProducts[[#Headers],[Company]], 91)</f>
        <v>Wengfu Australia</v>
      </c>
      <c r="E198" s="192" t="str" cm="1">
        <f t="array" ref="E198">Common_InputFunctions.Utility_DisplayArrayInTable(Fertiliser_SourceData.Fertiliser_Products_Data4(),FertiliserProducts[[#Headers],[Company]], 91)</f>
        <v>Wengfu PrimeZinc 10</v>
      </c>
      <c r="F198" s="192" t="str" cm="1">
        <f t="array" ref="F198">Common_InputFunctions.Utility_DisplayArrayInTable(Fertiliser_SourceData.Fertiliser_Products_Data4(),FertiliserProducts[[#Headers],[Company]], 91)</f>
        <v>kg</v>
      </c>
      <c r="G198" s="192" cm="1">
        <f t="array" ref="G198">Common_InputFunctions.Utility_DisplayArrayInTable(Fertiliser_SourceData.Fertiliser_Products_Data4(),FertiliserProducts[[#Headers],[Company]], 91)</f>
        <v>1</v>
      </c>
      <c r="H198" s="192" t="str" cm="1">
        <f t="array" ref="H198">Common_InputFunctions.Utility_DisplayArrayInTable(Fertiliser_SourceData.Fertiliser_Products_Data4(),FertiliserProducts[[#Headers],[Company]], 91)</f>
        <v/>
      </c>
      <c r="I198" s="192" t="str" cm="1">
        <f t="array" ref="I198">Common_InputFunctions.Utility_DisplayArrayInTable(Fertiliser_SourceData.Fertiliser_Products_Data4(),FertiliserProducts[[#Headers],[Company]], 91)</f>
        <v/>
      </c>
      <c r="J198" s="192" t="str" cm="1">
        <f t="array" ref="J198">Common_InputFunctions.Utility_DisplayArrayInTable(Fertiliser_SourceData.Fertiliser_Products_Data4(),FertiliserProducts[[#Headers],[Company]], 91)</f>
        <v/>
      </c>
      <c r="K198" s="192" cm="1">
        <f t="array" ref="K198">Common_InputFunctions.Utility_DisplayArrayInTable(Fertiliser_SourceData.Fertiliser_Products_Data4(),FertiliserProducts[[#Headers],[Company]], 91)</f>
        <v>10</v>
      </c>
      <c r="L198" s="192" cm="1">
        <f t="array" ref="L198">Common_InputFunctions.Utility_DisplayArrayInTable(Fertiliser_SourceData.Fertiliser_Products_Data4(),FertiliserProducts[[#Headers],[Company]], 91)</f>
        <v>22</v>
      </c>
      <c r="M198" s="192" t="str" cm="1">
        <f t="array" ref="M198">Common_InputFunctions.Utility_DisplayArrayInTable(Fertiliser_SourceData.Fertiliser_Products_Data4(),FertiliserProducts[[#Headers],[Company]], 91)</f>
        <v/>
      </c>
      <c r="N198" s="192" cm="1">
        <f t="array" ref="N198">Common_InputFunctions.Utility_DisplayArrayInTable(Fertiliser_SourceData.Fertiliser_Products_Data4(),FertiliserProducts[[#Headers],[Company]], 91)</f>
        <v>1.5</v>
      </c>
      <c r="O198" s="192" t="str" cm="1">
        <f t="array" ref="O198">Common_InputFunctions.Utility_DisplayArrayInTable(Fertiliser_SourceData.Fertiliser_Products_Data4(),FertiliserProducts[[#Headers],[Company]], 91)</f>
        <v>Nitrogen - Generic</v>
      </c>
      <c r="P198" s="192" cm="1">
        <f t="array" ref="P198">Common_InputFunctions.Utility_DisplayArrayInTable(Fertiliser_SourceData.Fertiliser_Products_Data4(),FertiliserProducts[[#Headers],[Company]], 91)</f>
        <v>0.1</v>
      </c>
      <c r="Q198" s="192" t="str" cm="1">
        <f t="array" ref="Q198">Common_InputFunctions.Utility_DisplayArrayInTable(Fertiliser_SourceData.Fertiliser_Products_Data4(),FertiliserProducts[[#Headers],[Company]], 91)</f>
        <v>Phosphorus - Generic</v>
      </c>
      <c r="R198" s="192" cm="1">
        <f t="array" ref="R198">Common_InputFunctions.Utility_DisplayArrayInTable(Fertiliser_SourceData.Fertiliser_Products_Data4(),FertiliserProducts[[#Headers],[Company]], 91)</f>
        <v>0.22</v>
      </c>
      <c r="S198" s="192" t="str" cm="1">
        <f t="array" ref="S198">Common_InputFunctions.Utility_DisplayArrayInTable(Fertiliser_SourceData.Fertiliser_Products_Data4(),FertiliserProducts[[#Headers],[Company]], 91)</f>
        <v>Sulfur - Generic</v>
      </c>
      <c r="T198" s="192" cm="1">
        <f t="array" ref="T198">Common_InputFunctions.Utility_DisplayArrayInTable(Fertiliser_SourceData.Fertiliser_Products_Data4(),FertiliserProducts[[#Headers],[Company]], 91)</f>
        <v>1.4999999999999999E-2</v>
      </c>
      <c r="U198" s="192" t="str" cm="1">
        <f t="array" ref="U198">Common_InputFunctions.Utility_DisplayArrayInTable(Fertiliser_SourceData.Fertiliser_Products_Data4(),FertiliserProducts[[#Headers],[Company]], 91)</f>
        <v>Zinc</v>
      </c>
      <c r="V198" s="192" cm="1">
        <f t="array" ref="V198">Common_InputFunctions.Utility_DisplayArrayInTable(Fertiliser_SourceData.Fertiliser_Products_Data4(),FertiliserProducts[[#Headers],[Company]], 91)</f>
        <v>0.01</v>
      </c>
      <c r="W198" s="192" t="str" cm="1">
        <f t="array" ref="W198">Common_InputFunctions.Utility_DisplayArrayInTable(Fertiliser_SourceData.Fertiliser_Products_Data4(),FertiliserProducts[[#Headers],[Company]], 91)</f>
        <v/>
      </c>
      <c r="X198" s="192" t="str" cm="1">
        <f t="array" ref="X198">Common_InputFunctions.Utility_DisplayArrayInTable(Fertiliser_SourceData.Fertiliser_Products_Data4(),FertiliserProducts[[#Headers],[Company]], 91)</f>
        <v/>
      </c>
      <c r="Y198" s="192" t="str" cm="1">
        <f t="array" ref="Y198">Common_InputFunctions.Utility_DisplayArrayInTable(Fertiliser_SourceData.Fertiliser_Products_Data4(),FertiliserProducts[[#Headers],[Company]], 91)</f>
        <v/>
      </c>
      <c r="Z198" s="192" t="str" cm="1">
        <f t="array" ref="Z198">Common_InputFunctions.Utility_DisplayArrayInTable(Fertiliser_SourceData.Fertiliser_Products_Data4(),FertiliserProducts[[#Headers],[Company]], 91)</f>
        <v/>
      </c>
      <c r="AA198" s="192" t="str" cm="1">
        <f t="array" ref="AA198">Common_InputFunctions.Utility_DisplayArrayInTable(Fertiliser_SourceData.Fertiliser_Products_Data4(),FertiliserProducts[[#Headers],[Company]], 91)</f>
        <v/>
      </c>
      <c r="AB198" s="192" t="str" cm="1">
        <f t="array" ref="AB198">Common_InputFunctions.Utility_DisplayArrayInTable(Fertiliser_SourceData.Fertiliser_Products_Data4(),FertiliserProducts[[#Headers],[Company]], 91)</f>
        <v/>
      </c>
      <c r="AC198" s="192" t="str" cm="1">
        <f t="array" ref="AC198">Common_InputFunctions.Utility_DisplayArrayInTable(Fertiliser_SourceData.Fertiliser_Products_Data4(),FertiliserProducts[[#Headers],[Company]], 91)</f>
        <v/>
      </c>
      <c r="AD198" s="192" t="str" cm="1">
        <f t="array" ref="AD198">Common_InputFunctions.Utility_DisplayArrayInTable(Fertiliser_SourceData.Fertiliser_Products_Data4(),FertiliserProducts[[#Headers],[Company]], 91)</f>
        <v/>
      </c>
      <c r="AE198" s="192" t="str" cm="1">
        <f t="array" ref="AE198">Common_InputFunctions.Utility_DisplayArrayInTable(Fertiliser_SourceData.Fertiliser_Products_Data4(),FertiliserProducts[[#Headers],[Company]], 91)</f>
        <v/>
      </c>
      <c r="AF198" s="192" t="str" cm="1">
        <f t="array" ref="AF198">Common_InputFunctions.Utility_DisplayArrayInTable(Fertiliser_SourceData.Fertiliser_Products_Data4(),FertiliserProducts[[#Headers],[Company]], 91)</f>
        <v/>
      </c>
      <c r="AG198" s="192" t="str" cm="1">
        <f t="array" ref="AG198">Common_InputFunctions.Utility_DisplayArrayInTable(Fertiliser_SourceData.Fertiliser_Products_Data4(),FertiliserProducts[[#Headers],[Company]], 91)</f>
        <v/>
      </c>
      <c r="AH198" s="192" t="str" cm="1">
        <f t="array" ref="AH198">Common_InputFunctions.Utility_DisplayArrayInTable(Fertiliser_SourceData.Fertiliser_Products_Data4(),FertiliserProducts[[#Headers],[Company]], 91)</f>
        <v/>
      </c>
    </row>
    <row r="199" spans="4:34" x14ac:dyDescent="0.25">
      <c r="D199" s="192" t="str" cm="1">
        <f t="array" ref="D199">Common_InputFunctions.Utility_DisplayArrayInTable(Fertiliser_SourceData.Fertiliser_Products_Data4(),FertiliserProducts[[#Headers],[Company]], 91)</f>
        <v>Wengfu Australia</v>
      </c>
      <c r="E199" s="192" t="str" cm="1">
        <f t="array" ref="E199">Common_InputFunctions.Utility_DisplayArrayInTable(Fertiliser_SourceData.Fertiliser_Products_Data4(),FertiliserProducts[[#Headers],[Company]], 91)</f>
        <v>Wengfu Pasture King</v>
      </c>
      <c r="F199" s="192" t="str" cm="1">
        <f t="array" ref="F199">Common_InputFunctions.Utility_DisplayArrayInTable(Fertiliser_SourceData.Fertiliser_Products_Data4(),FertiliserProducts[[#Headers],[Company]], 91)</f>
        <v>kg</v>
      </c>
      <c r="G199" s="192" cm="1">
        <f t="array" ref="G199">Common_InputFunctions.Utility_DisplayArrayInTable(Fertiliser_SourceData.Fertiliser_Products_Data4(),FertiliserProducts[[#Headers],[Company]], 91)</f>
        <v>1</v>
      </c>
      <c r="H199" s="192" t="str" cm="1">
        <f t="array" ref="H199">Common_InputFunctions.Utility_DisplayArrayInTable(Fertiliser_SourceData.Fertiliser_Products_Data4(),FertiliserProducts[[#Headers],[Company]], 91)</f>
        <v/>
      </c>
      <c r="I199" s="192" t="str" cm="1">
        <f t="array" ref="I199">Common_InputFunctions.Utility_DisplayArrayInTable(Fertiliser_SourceData.Fertiliser_Products_Data4(),FertiliserProducts[[#Headers],[Company]], 91)</f>
        <v/>
      </c>
      <c r="J199" s="192" t="str" cm="1">
        <f t="array" ref="J199">Common_InputFunctions.Utility_DisplayArrayInTable(Fertiliser_SourceData.Fertiliser_Products_Data4(),FertiliserProducts[[#Headers],[Company]], 91)</f>
        <v/>
      </c>
      <c r="K199" s="192" t="str" cm="1">
        <f t="array" ref="K199">Common_InputFunctions.Utility_DisplayArrayInTable(Fertiliser_SourceData.Fertiliser_Products_Data4(),FertiliserProducts[[#Headers],[Company]], 91)</f>
        <v/>
      </c>
      <c r="L199" s="192" cm="1">
        <f t="array" ref="L199">Common_InputFunctions.Utility_DisplayArrayInTable(Fertiliser_SourceData.Fertiliser_Products_Data4(),FertiliserProducts[[#Headers],[Company]], 91)</f>
        <v>15.7</v>
      </c>
      <c r="M199" s="192" t="str" cm="1">
        <f t="array" ref="M199">Common_InputFunctions.Utility_DisplayArrayInTable(Fertiliser_SourceData.Fertiliser_Products_Data4(),FertiliserProducts[[#Headers],[Company]], 91)</f>
        <v/>
      </c>
      <c r="N199" s="192" cm="1">
        <f t="array" ref="N199">Common_InputFunctions.Utility_DisplayArrayInTable(Fertiliser_SourceData.Fertiliser_Products_Data4(),FertiliserProducts[[#Headers],[Company]], 91)</f>
        <v>4.5999999999999996</v>
      </c>
      <c r="O199" s="192" t="str" cm="1">
        <f t="array" ref="O199">Common_InputFunctions.Utility_DisplayArrayInTable(Fertiliser_SourceData.Fertiliser_Products_Data4(),FertiliserProducts[[#Headers],[Company]], 91)</f>
        <v>Phosphorus - Generic</v>
      </c>
      <c r="P199" s="192" cm="1">
        <f t="array" ref="P199">Common_InputFunctions.Utility_DisplayArrayInTable(Fertiliser_SourceData.Fertiliser_Products_Data4(),FertiliserProducts[[#Headers],[Company]], 91)</f>
        <v>0.157</v>
      </c>
      <c r="Q199" s="192" t="str" cm="1">
        <f t="array" ref="Q199">Common_InputFunctions.Utility_DisplayArrayInTable(Fertiliser_SourceData.Fertiliser_Products_Data4(),FertiliserProducts[[#Headers],[Company]], 91)</f>
        <v>Sulfur - Generic</v>
      </c>
      <c r="R199" s="192" cm="1">
        <f t="array" ref="R199">Common_InputFunctions.Utility_DisplayArrayInTable(Fertiliser_SourceData.Fertiliser_Products_Data4(),FertiliserProducts[[#Headers],[Company]], 91)</f>
        <v>4.5999999999999999E-2</v>
      </c>
      <c r="S199" s="192" t="str" cm="1">
        <f t="array" ref="S199">Common_InputFunctions.Utility_DisplayArrayInTable(Fertiliser_SourceData.Fertiliser_Products_Data4(),FertiliserProducts[[#Headers],[Company]], 91)</f>
        <v>Calcium</v>
      </c>
      <c r="T199" s="192" cm="1">
        <f t="array" ref="T199">Common_InputFunctions.Utility_DisplayArrayInTable(Fertiliser_SourceData.Fertiliser_Products_Data4(),FertiliserProducts[[#Headers],[Company]], 91)</f>
        <v>0.14000000000000001</v>
      </c>
      <c r="U199" s="192" t="str" cm="1">
        <f t="array" ref="U199">Common_InputFunctions.Utility_DisplayArrayInTable(Fertiliser_SourceData.Fertiliser_Products_Data4(),FertiliserProducts[[#Headers],[Company]], 91)</f>
        <v/>
      </c>
      <c r="V199" s="192" t="str" cm="1">
        <f t="array" ref="V199">Common_InputFunctions.Utility_DisplayArrayInTable(Fertiliser_SourceData.Fertiliser_Products_Data4(),FertiliserProducts[[#Headers],[Company]], 91)</f>
        <v/>
      </c>
      <c r="W199" s="192" t="str" cm="1">
        <f t="array" ref="W199">Common_InputFunctions.Utility_DisplayArrayInTable(Fertiliser_SourceData.Fertiliser_Products_Data4(),FertiliserProducts[[#Headers],[Company]], 91)</f>
        <v/>
      </c>
      <c r="X199" s="192" t="str" cm="1">
        <f t="array" ref="X199">Common_InputFunctions.Utility_DisplayArrayInTable(Fertiliser_SourceData.Fertiliser_Products_Data4(),FertiliserProducts[[#Headers],[Company]], 91)</f>
        <v/>
      </c>
      <c r="Y199" s="192" t="str" cm="1">
        <f t="array" ref="Y199">Common_InputFunctions.Utility_DisplayArrayInTable(Fertiliser_SourceData.Fertiliser_Products_Data4(),FertiliserProducts[[#Headers],[Company]], 91)</f>
        <v/>
      </c>
      <c r="Z199" s="192" t="str" cm="1">
        <f t="array" ref="Z199">Common_InputFunctions.Utility_DisplayArrayInTable(Fertiliser_SourceData.Fertiliser_Products_Data4(),FertiliserProducts[[#Headers],[Company]], 91)</f>
        <v/>
      </c>
      <c r="AA199" s="192" t="str" cm="1">
        <f t="array" ref="AA199">Common_InputFunctions.Utility_DisplayArrayInTable(Fertiliser_SourceData.Fertiliser_Products_Data4(),FertiliserProducts[[#Headers],[Company]], 91)</f>
        <v/>
      </c>
      <c r="AB199" s="192" t="str" cm="1">
        <f t="array" ref="AB199">Common_InputFunctions.Utility_DisplayArrayInTable(Fertiliser_SourceData.Fertiliser_Products_Data4(),FertiliserProducts[[#Headers],[Company]], 91)</f>
        <v/>
      </c>
      <c r="AC199" s="192" t="str" cm="1">
        <f t="array" ref="AC199">Common_InputFunctions.Utility_DisplayArrayInTable(Fertiliser_SourceData.Fertiliser_Products_Data4(),FertiliserProducts[[#Headers],[Company]], 91)</f>
        <v/>
      </c>
      <c r="AD199" s="192" t="str" cm="1">
        <f t="array" ref="AD199">Common_InputFunctions.Utility_DisplayArrayInTable(Fertiliser_SourceData.Fertiliser_Products_Data4(),FertiliserProducts[[#Headers],[Company]], 91)</f>
        <v/>
      </c>
      <c r="AE199" s="192" t="str" cm="1">
        <f t="array" ref="AE199">Common_InputFunctions.Utility_DisplayArrayInTable(Fertiliser_SourceData.Fertiliser_Products_Data4(),FertiliserProducts[[#Headers],[Company]], 91)</f>
        <v/>
      </c>
      <c r="AF199" s="192" t="str" cm="1">
        <f t="array" ref="AF199">Common_InputFunctions.Utility_DisplayArrayInTable(Fertiliser_SourceData.Fertiliser_Products_Data4(),FertiliserProducts[[#Headers],[Company]], 91)</f>
        <v/>
      </c>
      <c r="AG199" s="192" t="str" cm="1">
        <f t="array" ref="AG199">Common_InputFunctions.Utility_DisplayArrayInTable(Fertiliser_SourceData.Fertiliser_Products_Data4(),FertiliserProducts[[#Headers],[Company]], 91)</f>
        <v/>
      </c>
      <c r="AH199" s="192" t="str" cm="1">
        <f t="array" ref="AH199">Common_InputFunctions.Utility_DisplayArrayInTable(Fertiliser_SourceData.Fertiliser_Products_Data4(),FertiliserProducts[[#Headers],[Company]], 91)</f>
        <v/>
      </c>
    </row>
    <row r="200" spans="4:34" x14ac:dyDescent="0.25">
      <c r="D200" s="192" t="str" cm="1">
        <f t="array" ref="D200">Common_InputFunctions.Utility_DisplayArrayInTable(Fertiliser_SourceData.Fertiliser_Products_Data4(),FertiliserProducts[[#Headers],[Company]], 91)</f>
        <v>Wengfu Australia</v>
      </c>
      <c r="E200" s="192" t="str" cm="1">
        <f t="array" ref="E200">Common_InputFunctions.Utility_DisplayArrayInTable(Fertiliser_SourceData.Fertiliser_Products_Data4(),FertiliserProducts[[#Headers],[Company]], 91)</f>
        <v>Wengfu SuStain</v>
      </c>
      <c r="F200" s="192" t="str" cm="1">
        <f t="array" ref="F200">Common_InputFunctions.Utility_DisplayArrayInTable(Fertiliser_SourceData.Fertiliser_Products_Data4(),FertiliserProducts[[#Headers],[Company]], 91)</f>
        <v>kg</v>
      </c>
      <c r="G200" s="192" cm="1">
        <f t="array" ref="G200">Common_InputFunctions.Utility_DisplayArrayInTable(Fertiliser_SourceData.Fertiliser_Products_Data4(),FertiliserProducts[[#Headers],[Company]], 91)</f>
        <v>1</v>
      </c>
      <c r="H200" s="192" t="str" cm="1">
        <f t="array" ref="H200">Common_InputFunctions.Utility_DisplayArrayInTable(Fertiliser_SourceData.Fertiliser_Products_Data4(),FertiliserProducts[[#Headers],[Company]], 91)</f>
        <v/>
      </c>
      <c r="I200" s="192" t="str" cm="1">
        <f t="array" ref="I200">Common_InputFunctions.Utility_DisplayArrayInTable(Fertiliser_SourceData.Fertiliser_Products_Data4(),FertiliserProducts[[#Headers],[Company]], 91)</f>
        <v/>
      </c>
      <c r="J200" s="192" t="str" cm="1">
        <f t="array" ref="J200">Common_InputFunctions.Utility_DisplayArrayInTable(Fertiliser_SourceData.Fertiliser_Products_Data4(),FertiliserProducts[[#Headers],[Company]], 91)</f>
        <v/>
      </c>
      <c r="K200" s="192" t="str" cm="1">
        <f t="array" ref="K200">Common_InputFunctions.Utility_DisplayArrayInTable(Fertiliser_SourceData.Fertiliser_Products_Data4(),FertiliserProducts[[#Headers],[Company]], 91)</f>
        <v/>
      </c>
      <c r="L200" s="192" t="str" cm="1">
        <f t="array" ref="L200">Common_InputFunctions.Utility_DisplayArrayInTable(Fertiliser_SourceData.Fertiliser_Products_Data4(),FertiliserProducts[[#Headers],[Company]], 91)</f>
        <v/>
      </c>
      <c r="M200" s="192" t="str" cm="1">
        <f t="array" ref="M200">Common_InputFunctions.Utility_DisplayArrayInTable(Fertiliser_SourceData.Fertiliser_Products_Data4(),FertiliserProducts[[#Headers],[Company]], 91)</f>
        <v/>
      </c>
      <c r="N200" s="192" cm="1">
        <f t="array" ref="N200">Common_InputFunctions.Utility_DisplayArrayInTable(Fertiliser_SourceData.Fertiliser_Products_Data4(),FertiliserProducts[[#Headers],[Company]], 91)</f>
        <v>90</v>
      </c>
      <c r="O200" s="192" t="str" cm="1">
        <f t="array" ref="O200">Common_InputFunctions.Utility_DisplayArrayInTable(Fertiliser_SourceData.Fertiliser_Products_Data4(),FertiliserProducts[[#Headers],[Company]], 91)</f>
        <v>Sulfur - Generic</v>
      </c>
      <c r="P200" s="192" cm="1">
        <f t="array" ref="P200">Common_InputFunctions.Utility_DisplayArrayInTable(Fertiliser_SourceData.Fertiliser_Products_Data4(),FertiliserProducts[[#Headers],[Company]], 91)</f>
        <v>0.9</v>
      </c>
      <c r="Q200" s="192" t="str" cm="1">
        <f t="array" ref="Q200">Common_InputFunctions.Utility_DisplayArrayInTable(Fertiliser_SourceData.Fertiliser_Products_Data4(),FertiliserProducts[[#Headers],[Company]], 91)</f>
        <v/>
      </c>
      <c r="R200" s="192" t="str" cm="1">
        <f t="array" ref="R200">Common_InputFunctions.Utility_DisplayArrayInTable(Fertiliser_SourceData.Fertiliser_Products_Data4(),FertiliserProducts[[#Headers],[Company]], 91)</f>
        <v/>
      </c>
      <c r="S200" s="192" t="str" cm="1">
        <f t="array" ref="S200">Common_InputFunctions.Utility_DisplayArrayInTable(Fertiliser_SourceData.Fertiliser_Products_Data4(),FertiliserProducts[[#Headers],[Company]], 91)</f>
        <v/>
      </c>
      <c r="T200" s="192" t="str" cm="1">
        <f t="array" ref="T200">Common_InputFunctions.Utility_DisplayArrayInTable(Fertiliser_SourceData.Fertiliser_Products_Data4(),FertiliserProducts[[#Headers],[Company]], 91)</f>
        <v/>
      </c>
      <c r="U200" s="192" t="str" cm="1">
        <f t="array" ref="U200">Common_InputFunctions.Utility_DisplayArrayInTable(Fertiliser_SourceData.Fertiliser_Products_Data4(),FertiliserProducts[[#Headers],[Company]], 91)</f>
        <v/>
      </c>
      <c r="V200" s="192" t="str" cm="1">
        <f t="array" ref="V200">Common_InputFunctions.Utility_DisplayArrayInTable(Fertiliser_SourceData.Fertiliser_Products_Data4(),FertiliserProducts[[#Headers],[Company]], 91)</f>
        <v/>
      </c>
      <c r="W200" s="192" t="str" cm="1">
        <f t="array" ref="W200">Common_InputFunctions.Utility_DisplayArrayInTable(Fertiliser_SourceData.Fertiliser_Products_Data4(),FertiliserProducts[[#Headers],[Company]], 91)</f>
        <v/>
      </c>
      <c r="X200" s="192" t="str" cm="1">
        <f t="array" ref="X200">Common_InputFunctions.Utility_DisplayArrayInTable(Fertiliser_SourceData.Fertiliser_Products_Data4(),FertiliserProducts[[#Headers],[Company]], 91)</f>
        <v/>
      </c>
      <c r="Y200" s="192" t="str" cm="1">
        <f t="array" ref="Y200">Common_InputFunctions.Utility_DisplayArrayInTable(Fertiliser_SourceData.Fertiliser_Products_Data4(),FertiliserProducts[[#Headers],[Company]], 91)</f>
        <v/>
      </c>
      <c r="Z200" s="192" t="str" cm="1">
        <f t="array" ref="Z200">Common_InputFunctions.Utility_DisplayArrayInTable(Fertiliser_SourceData.Fertiliser_Products_Data4(),FertiliserProducts[[#Headers],[Company]], 91)</f>
        <v/>
      </c>
      <c r="AA200" s="192" t="str" cm="1">
        <f t="array" ref="AA200">Common_InputFunctions.Utility_DisplayArrayInTable(Fertiliser_SourceData.Fertiliser_Products_Data4(),FertiliserProducts[[#Headers],[Company]], 91)</f>
        <v/>
      </c>
      <c r="AB200" s="192" t="str" cm="1">
        <f t="array" ref="AB200">Common_InputFunctions.Utility_DisplayArrayInTable(Fertiliser_SourceData.Fertiliser_Products_Data4(),FertiliserProducts[[#Headers],[Company]], 91)</f>
        <v/>
      </c>
      <c r="AC200" s="192" t="str" cm="1">
        <f t="array" ref="AC200">Common_InputFunctions.Utility_DisplayArrayInTable(Fertiliser_SourceData.Fertiliser_Products_Data4(),FertiliserProducts[[#Headers],[Company]], 91)</f>
        <v/>
      </c>
      <c r="AD200" s="192" t="str" cm="1">
        <f t="array" ref="AD200">Common_InputFunctions.Utility_DisplayArrayInTable(Fertiliser_SourceData.Fertiliser_Products_Data4(),FertiliserProducts[[#Headers],[Company]], 91)</f>
        <v/>
      </c>
      <c r="AE200" s="192" t="str" cm="1">
        <f t="array" ref="AE200">Common_InputFunctions.Utility_DisplayArrayInTable(Fertiliser_SourceData.Fertiliser_Products_Data4(),FertiliserProducts[[#Headers],[Company]], 91)</f>
        <v/>
      </c>
      <c r="AF200" s="192" t="str" cm="1">
        <f t="array" ref="AF200">Common_InputFunctions.Utility_DisplayArrayInTable(Fertiliser_SourceData.Fertiliser_Products_Data4(),FertiliserProducts[[#Headers],[Company]], 91)</f>
        <v/>
      </c>
      <c r="AG200" s="192" t="str" cm="1">
        <f t="array" ref="AG200">Common_InputFunctions.Utility_DisplayArrayInTable(Fertiliser_SourceData.Fertiliser_Products_Data4(),FertiliserProducts[[#Headers],[Company]], 91)</f>
        <v/>
      </c>
      <c r="AH200" s="192" t="str" cm="1">
        <f t="array" ref="AH200">Common_InputFunctions.Utility_DisplayArrayInTable(Fertiliser_SourceData.Fertiliser_Products_Data4(),FertiliserProducts[[#Headers],[Company]], 91)</f>
        <v/>
      </c>
    </row>
    <row r="201" spans="4:34" x14ac:dyDescent="0.25">
      <c r="D201" s="192" t="str" cm="1">
        <f t="array" ref="D201">Common_InputFunctions.Utility_DisplayArrayInTable(Fertiliser_SourceData.Fertiliser_Products_Data4(),FertiliserProducts[[#Headers],[Company]], 91)</f>
        <v>Wengfu Australia</v>
      </c>
      <c r="E201" s="192" t="str" cm="1">
        <f t="array" ref="E201">Common_InputFunctions.Utility_DisplayArrayInTable(Fertiliser_SourceData.Fertiliser_Products_Data4(),FertiliserProducts[[#Headers],[Company]], 91)</f>
        <v>Wengfu Slam</v>
      </c>
      <c r="F201" s="192" t="str" cm="1">
        <f t="array" ref="F201">Common_InputFunctions.Utility_DisplayArrayInTable(Fertiliser_SourceData.Fertiliser_Products_Data4(),FertiliserProducts[[#Headers],[Company]], 91)</f>
        <v>kg</v>
      </c>
      <c r="G201" s="192" cm="1">
        <f t="array" ref="G201">Common_InputFunctions.Utility_DisplayArrayInTable(Fertiliser_SourceData.Fertiliser_Products_Data4(),FertiliserProducts[[#Headers],[Company]], 91)</f>
        <v>1</v>
      </c>
      <c r="H201" s="192" t="str" cm="1">
        <f t="array" ref="H201">Common_InputFunctions.Utility_DisplayArrayInTable(Fertiliser_SourceData.Fertiliser_Products_Data4(),FertiliserProducts[[#Headers],[Company]], 91)</f>
        <v/>
      </c>
      <c r="I201" s="192" t="str" cm="1">
        <f t="array" ref="I201">Common_InputFunctions.Utility_DisplayArrayInTable(Fertiliser_SourceData.Fertiliser_Products_Data4(),FertiliserProducts[[#Headers],[Company]], 91)</f>
        <v/>
      </c>
      <c r="J201" s="192" t="str" cm="1">
        <f t="array" ref="J201">Common_InputFunctions.Utility_DisplayArrayInTable(Fertiliser_SourceData.Fertiliser_Products_Data4(),FertiliserProducts[[#Headers],[Company]], 91)</f>
        <v/>
      </c>
      <c r="K201" s="192" cm="1">
        <f t="array" ref="K201">Common_InputFunctions.Utility_DisplayArrayInTable(Fertiliser_SourceData.Fertiliser_Products_Data4(),FertiliserProducts[[#Headers],[Company]], 91)</f>
        <v>19.5</v>
      </c>
      <c r="L201" s="192" cm="1">
        <f t="array" ref="L201">Common_InputFunctions.Utility_DisplayArrayInTable(Fertiliser_SourceData.Fertiliser_Products_Data4(),FertiliserProducts[[#Headers],[Company]], 91)</f>
        <v>0.7</v>
      </c>
      <c r="M201" s="192" t="str" cm="1">
        <f t="array" ref="M201">Common_InputFunctions.Utility_DisplayArrayInTable(Fertiliser_SourceData.Fertiliser_Products_Data4(),FertiliserProducts[[#Headers],[Company]], 91)</f>
        <v/>
      </c>
      <c r="N201" s="192" cm="1">
        <f t="array" ref="N201">Common_InputFunctions.Utility_DisplayArrayInTable(Fertiliser_SourceData.Fertiliser_Products_Data4(),FertiliserProducts[[#Headers],[Company]], 91)</f>
        <v>23</v>
      </c>
      <c r="O201" s="192" t="str" cm="1">
        <f t="array" ref="O201">Common_InputFunctions.Utility_DisplayArrayInTable(Fertiliser_SourceData.Fertiliser_Products_Data4(),FertiliserProducts[[#Headers],[Company]], 91)</f>
        <v>Nitrogen - Generic</v>
      </c>
      <c r="P201" s="192" cm="1">
        <f t="array" ref="P201">Common_InputFunctions.Utility_DisplayArrayInTable(Fertiliser_SourceData.Fertiliser_Products_Data4(),FertiliserProducts[[#Headers],[Company]], 91)</f>
        <v>0.19500000000000001</v>
      </c>
      <c r="Q201" s="192" t="str" cm="1">
        <f t="array" ref="Q201">Common_InputFunctions.Utility_DisplayArrayInTable(Fertiliser_SourceData.Fertiliser_Products_Data4(),FertiliserProducts[[#Headers],[Company]], 91)</f>
        <v>Phosphorus - Generic</v>
      </c>
      <c r="R201" s="192" cm="1">
        <f t="array" ref="R201">Common_InputFunctions.Utility_DisplayArrayInTable(Fertiliser_SourceData.Fertiliser_Products_Data4(),FertiliserProducts[[#Headers],[Company]], 91)</f>
        <v>7.0000000000000001E-3</v>
      </c>
      <c r="S201" s="192" t="str" cm="1">
        <f t="array" ref="S201">Common_InputFunctions.Utility_DisplayArrayInTable(Fertiliser_SourceData.Fertiliser_Products_Data4(),FertiliserProducts[[#Headers],[Company]], 91)</f>
        <v>Sulfur - Generic</v>
      </c>
      <c r="T201" s="192" cm="1">
        <f t="array" ref="T201">Common_InputFunctions.Utility_DisplayArrayInTable(Fertiliser_SourceData.Fertiliser_Products_Data4(),FertiliserProducts[[#Headers],[Company]], 91)</f>
        <v>0.23</v>
      </c>
      <c r="U201" s="192" t="str" cm="1">
        <f t="array" ref="U201">Common_InputFunctions.Utility_DisplayArrayInTable(Fertiliser_SourceData.Fertiliser_Products_Data4(),FertiliserProducts[[#Headers],[Company]], 91)</f>
        <v/>
      </c>
      <c r="V201" s="192" t="str" cm="1">
        <f t="array" ref="V201">Common_InputFunctions.Utility_DisplayArrayInTable(Fertiliser_SourceData.Fertiliser_Products_Data4(),FertiliserProducts[[#Headers],[Company]], 91)</f>
        <v/>
      </c>
      <c r="W201" s="192" t="str" cm="1">
        <f t="array" ref="W201">Common_InputFunctions.Utility_DisplayArrayInTable(Fertiliser_SourceData.Fertiliser_Products_Data4(),FertiliserProducts[[#Headers],[Company]], 91)</f>
        <v/>
      </c>
      <c r="X201" s="192" t="str" cm="1">
        <f t="array" ref="X201">Common_InputFunctions.Utility_DisplayArrayInTable(Fertiliser_SourceData.Fertiliser_Products_Data4(),FertiliserProducts[[#Headers],[Company]], 91)</f>
        <v/>
      </c>
      <c r="Y201" s="192" t="str" cm="1">
        <f t="array" ref="Y201">Common_InputFunctions.Utility_DisplayArrayInTable(Fertiliser_SourceData.Fertiliser_Products_Data4(),FertiliserProducts[[#Headers],[Company]], 91)</f>
        <v/>
      </c>
      <c r="Z201" s="192" t="str" cm="1">
        <f t="array" ref="Z201">Common_InputFunctions.Utility_DisplayArrayInTable(Fertiliser_SourceData.Fertiliser_Products_Data4(),FertiliserProducts[[#Headers],[Company]], 91)</f>
        <v/>
      </c>
      <c r="AA201" s="192" t="str" cm="1">
        <f t="array" ref="AA201">Common_InputFunctions.Utility_DisplayArrayInTable(Fertiliser_SourceData.Fertiliser_Products_Data4(),FertiliserProducts[[#Headers],[Company]], 91)</f>
        <v/>
      </c>
      <c r="AB201" s="192" t="str" cm="1">
        <f t="array" ref="AB201">Common_InputFunctions.Utility_DisplayArrayInTable(Fertiliser_SourceData.Fertiliser_Products_Data4(),FertiliserProducts[[#Headers],[Company]], 91)</f>
        <v/>
      </c>
      <c r="AC201" s="192" t="str" cm="1">
        <f t="array" ref="AC201">Common_InputFunctions.Utility_DisplayArrayInTable(Fertiliser_SourceData.Fertiliser_Products_Data4(),FertiliserProducts[[#Headers],[Company]], 91)</f>
        <v/>
      </c>
      <c r="AD201" s="192" t="str" cm="1">
        <f t="array" ref="AD201">Common_InputFunctions.Utility_DisplayArrayInTable(Fertiliser_SourceData.Fertiliser_Products_Data4(),FertiliserProducts[[#Headers],[Company]], 91)</f>
        <v/>
      </c>
      <c r="AE201" s="192" t="str" cm="1">
        <f t="array" ref="AE201">Common_InputFunctions.Utility_DisplayArrayInTable(Fertiliser_SourceData.Fertiliser_Products_Data4(),FertiliserProducts[[#Headers],[Company]], 91)</f>
        <v/>
      </c>
      <c r="AF201" s="192" t="str" cm="1">
        <f t="array" ref="AF201">Common_InputFunctions.Utility_DisplayArrayInTable(Fertiliser_SourceData.Fertiliser_Products_Data4(),FertiliserProducts[[#Headers],[Company]], 91)</f>
        <v/>
      </c>
      <c r="AG201" s="192" t="str" cm="1">
        <f t="array" ref="AG201">Common_InputFunctions.Utility_DisplayArrayInTable(Fertiliser_SourceData.Fertiliser_Products_Data4(),FertiliserProducts[[#Headers],[Company]], 91)</f>
        <v/>
      </c>
      <c r="AH201" s="192" t="str" cm="1">
        <f t="array" ref="AH201">Common_InputFunctions.Utility_DisplayArrayInTable(Fertiliser_SourceData.Fertiliser_Products_Data4(),FertiliserProducts[[#Headers],[Company]], 91)</f>
        <v/>
      </c>
    </row>
    <row r="202" spans="4:34" x14ac:dyDescent="0.25">
      <c r="D202" s="192" t="str" cm="1">
        <f t="array" ref="D202">Common_InputFunctions.Utility_DisplayArrayInTable(Fertiliser_SourceData.Fertiliser_Products_Data4(),FertiliserProducts[[#Headers],[Company]], 91)</f>
        <v>Wengfu Australia</v>
      </c>
      <c r="E202" s="192" t="str" cm="1">
        <f t="array" ref="E202">Common_InputFunctions.Utility_DisplayArrayInTable(Fertiliser_SourceData.Fertiliser_Products_Data4(),FertiliserProducts[[#Headers],[Company]], 91)</f>
        <v>Wengfu Prime MSZ</v>
      </c>
      <c r="F202" s="192" t="str" cm="1">
        <f t="array" ref="F202">Common_InputFunctions.Utility_DisplayArrayInTable(Fertiliser_SourceData.Fertiliser_Products_Data4(),FertiliserProducts[[#Headers],[Company]], 91)</f>
        <v>kg</v>
      </c>
      <c r="G202" s="192" cm="1">
        <f t="array" ref="G202">Common_InputFunctions.Utility_DisplayArrayInTable(Fertiliser_SourceData.Fertiliser_Products_Data4(),FertiliserProducts[[#Headers],[Company]], 91)</f>
        <v>1</v>
      </c>
      <c r="H202" s="192" t="str" cm="1">
        <f t="array" ref="H202">Common_InputFunctions.Utility_DisplayArrayInTable(Fertiliser_SourceData.Fertiliser_Products_Data4(),FertiliserProducts[[#Headers],[Company]], 91)</f>
        <v/>
      </c>
      <c r="I202" s="192" t="str" cm="1">
        <f t="array" ref="I202">Common_InputFunctions.Utility_DisplayArrayInTable(Fertiliser_SourceData.Fertiliser_Products_Data4(),FertiliserProducts[[#Headers],[Company]], 91)</f>
        <v/>
      </c>
      <c r="J202" s="192" t="str" cm="1">
        <f t="array" ref="J202">Common_InputFunctions.Utility_DisplayArrayInTable(Fertiliser_SourceData.Fertiliser_Products_Data4(),FertiliserProducts[[#Headers],[Company]], 91)</f>
        <v/>
      </c>
      <c r="K202" s="192" cm="1">
        <f t="array" ref="K202">Common_InputFunctions.Utility_DisplayArrayInTable(Fertiliser_SourceData.Fertiliser_Products_Data4(),FertiliserProducts[[#Headers],[Company]], 91)</f>
        <v>10</v>
      </c>
      <c r="L202" s="192" cm="1">
        <f t="array" ref="L202">Common_InputFunctions.Utility_DisplayArrayInTable(Fertiliser_SourceData.Fertiliser_Products_Data4(),FertiliserProducts[[#Headers],[Company]], 91)</f>
        <v>18</v>
      </c>
      <c r="M202" s="192" t="str" cm="1">
        <f t="array" ref="M202">Common_InputFunctions.Utility_DisplayArrayInTable(Fertiliser_SourceData.Fertiliser_Products_Data4(),FertiliserProducts[[#Headers],[Company]], 91)</f>
        <v/>
      </c>
      <c r="N202" s="192" cm="1">
        <f t="array" ref="N202">Common_InputFunctions.Utility_DisplayArrayInTable(Fertiliser_SourceData.Fertiliser_Products_Data4(),FertiliserProducts[[#Headers],[Company]], 91)</f>
        <v>8</v>
      </c>
      <c r="O202" s="192" t="str" cm="1">
        <f t="array" ref="O202">Common_InputFunctions.Utility_DisplayArrayInTable(Fertiliser_SourceData.Fertiliser_Products_Data4(),FertiliserProducts[[#Headers],[Company]], 91)</f>
        <v>Nitrogen - Generic</v>
      </c>
      <c r="P202" s="192" cm="1">
        <f t="array" ref="P202">Common_InputFunctions.Utility_DisplayArrayInTable(Fertiliser_SourceData.Fertiliser_Products_Data4(),FertiliserProducts[[#Headers],[Company]], 91)</f>
        <v>0.1</v>
      </c>
      <c r="Q202" s="192" t="str" cm="1">
        <f t="array" ref="Q202">Common_InputFunctions.Utility_DisplayArrayInTable(Fertiliser_SourceData.Fertiliser_Products_Data4(),FertiliserProducts[[#Headers],[Company]], 91)</f>
        <v>Phosphorus - Generic</v>
      </c>
      <c r="R202" s="192" cm="1">
        <f t="array" ref="R202">Common_InputFunctions.Utility_DisplayArrayInTable(Fertiliser_SourceData.Fertiliser_Products_Data4(),FertiliserProducts[[#Headers],[Company]], 91)</f>
        <v>0.18</v>
      </c>
      <c r="S202" s="192" t="str" cm="1">
        <f t="array" ref="S202">Common_InputFunctions.Utility_DisplayArrayInTable(Fertiliser_SourceData.Fertiliser_Products_Data4(),FertiliserProducts[[#Headers],[Company]], 91)</f>
        <v>Sulfur - Generic</v>
      </c>
      <c r="T202" s="192" cm="1">
        <f t="array" ref="T202">Common_InputFunctions.Utility_DisplayArrayInTable(Fertiliser_SourceData.Fertiliser_Products_Data4(),FertiliserProducts[[#Headers],[Company]], 91)</f>
        <v>0.08</v>
      </c>
      <c r="U202" s="192" t="str" cm="1">
        <f t="array" ref="U202">Common_InputFunctions.Utility_DisplayArrayInTable(Fertiliser_SourceData.Fertiliser_Products_Data4(),FertiliserProducts[[#Headers],[Company]], 91)</f>
        <v>Zinc</v>
      </c>
      <c r="V202" s="192" cm="1">
        <f t="array" ref="V202">Common_InputFunctions.Utility_DisplayArrayInTable(Fertiliser_SourceData.Fertiliser_Products_Data4(),FertiliserProducts[[#Headers],[Company]], 91)</f>
        <v>5.0000000000000001E-3</v>
      </c>
      <c r="W202" s="192" t="str" cm="1">
        <f t="array" ref="W202">Common_InputFunctions.Utility_DisplayArrayInTable(Fertiliser_SourceData.Fertiliser_Products_Data4(),FertiliserProducts[[#Headers],[Company]], 91)</f>
        <v/>
      </c>
      <c r="X202" s="192" t="str" cm="1">
        <f t="array" ref="X202">Common_InputFunctions.Utility_DisplayArrayInTable(Fertiliser_SourceData.Fertiliser_Products_Data4(),FertiliserProducts[[#Headers],[Company]], 91)</f>
        <v/>
      </c>
      <c r="Y202" s="192" t="str" cm="1">
        <f t="array" ref="Y202">Common_InputFunctions.Utility_DisplayArrayInTable(Fertiliser_SourceData.Fertiliser_Products_Data4(),FertiliserProducts[[#Headers],[Company]], 91)</f>
        <v/>
      </c>
      <c r="Z202" s="192" t="str" cm="1">
        <f t="array" ref="Z202">Common_InputFunctions.Utility_DisplayArrayInTable(Fertiliser_SourceData.Fertiliser_Products_Data4(),FertiliserProducts[[#Headers],[Company]], 91)</f>
        <v/>
      </c>
      <c r="AA202" s="192" t="str" cm="1">
        <f t="array" ref="AA202">Common_InputFunctions.Utility_DisplayArrayInTable(Fertiliser_SourceData.Fertiliser_Products_Data4(),FertiliserProducts[[#Headers],[Company]], 91)</f>
        <v/>
      </c>
      <c r="AB202" s="192" t="str" cm="1">
        <f t="array" ref="AB202">Common_InputFunctions.Utility_DisplayArrayInTable(Fertiliser_SourceData.Fertiliser_Products_Data4(),FertiliserProducts[[#Headers],[Company]], 91)</f>
        <v/>
      </c>
      <c r="AC202" s="192" t="str" cm="1">
        <f t="array" ref="AC202">Common_InputFunctions.Utility_DisplayArrayInTable(Fertiliser_SourceData.Fertiliser_Products_Data4(),FertiliserProducts[[#Headers],[Company]], 91)</f>
        <v/>
      </c>
      <c r="AD202" s="192" t="str" cm="1">
        <f t="array" ref="AD202">Common_InputFunctions.Utility_DisplayArrayInTable(Fertiliser_SourceData.Fertiliser_Products_Data4(),FertiliserProducts[[#Headers],[Company]], 91)</f>
        <v/>
      </c>
      <c r="AE202" s="192" t="str" cm="1">
        <f t="array" ref="AE202">Common_InputFunctions.Utility_DisplayArrayInTable(Fertiliser_SourceData.Fertiliser_Products_Data4(),FertiliserProducts[[#Headers],[Company]], 91)</f>
        <v/>
      </c>
      <c r="AF202" s="192" t="str" cm="1">
        <f t="array" ref="AF202">Common_InputFunctions.Utility_DisplayArrayInTable(Fertiliser_SourceData.Fertiliser_Products_Data4(),FertiliserProducts[[#Headers],[Company]], 91)</f>
        <v/>
      </c>
      <c r="AG202" s="192" t="str" cm="1">
        <f t="array" ref="AG202">Common_InputFunctions.Utility_DisplayArrayInTable(Fertiliser_SourceData.Fertiliser_Products_Data4(),FertiliserProducts[[#Headers],[Company]], 91)</f>
        <v/>
      </c>
      <c r="AH202" s="192" t="str" cm="1">
        <f t="array" ref="AH202">Common_InputFunctions.Utility_DisplayArrayInTable(Fertiliser_SourceData.Fertiliser_Products_Data4(),FertiliserProducts[[#Headers],[Company]], 91)</f>
        <v/>
      </c>
    </row>
    <row r="203" spans="4:34" x14ac:dyDescent="0.25">
      <c r="D203" s="192" t="str" cm="1">
        <f t="array" ref="D203">Common_InputFunctions.Utility_DisplayArrayInTable(Fertiliser_SourceData.Fertiliser_Products_Data4(),FertiliserProducts[[#Headers],[Company]], 91)</f>
        <v>Wengfu Australia</v>
      </c>
      <c r="E203" s="192" t="str" cm="1">
        <f t="array" ref="E203">Common_InputFunctions.Utility_DisplayArrayInTable(Fertiliser_SourceData.Fertiliser_Products_Data4(),FertiliserProducts[[#Headers],[Company]], 91)</f>
        <v>Wengfu 9-20-0-10 MAP SuStain</v>
      </c>
      <c r="F203" s="192" t="str" cm="1">
        <f t="array" ref="F203">Common_InputFunctions.Utility_DisplayArrayInTable(Fertiliser_SourceData.Fertiliser_Products_Data4(),FertiliserProducts[[#Headers],[Company]], 91)</f>
        <v>kg</v>
      </c>
      <c r="G203" s="192" cm="1">
        <f t="array" ref="G203">Common_InputFunctions.Utility_DisplayArrayInTable(Fertiliser_SourceData.Fertiliser_Products_Data4(),FertiliserProducts[[#Headers],[Company]], 91)</f>
        <v>1</v>
      </c>
      <c r="H203" s="192" t="str" cm="1">
        <f t="array" ref="H203">Common_InputFunctions.Utility_DisplayArrayInTable(Fertiliser_SourceData.Fertiliser_Products_Data4(),FertiliserProducts[[#Headers],[Company]], 91)</f>
        <v/>
      </c>
      <c r="I203" s="192" t="str" cm="1">
        <f t="array" ref="I203">Common_InputFunctions.Utility_DisplayArrayInTable(Fertiliser_SourceData.Fertiliser_Products_Data4(),FertiliserProducts[[#Headers],[Company]], 91)</f>
        <v/>
      </c>
      <c r="J203" s="192" t="str" cm="1">
        <f t="array" ref="J203">Common_InputFunctions.Utility_DisplayArrayInTable(Fertiliser_SourceData.Fertiliser_Products_Data4(),FertiliserProducts[[#Headers],[Company]], 91)</f>
        <v/>
      </c>
      <c r="K203" s="192" cm="1">
        <f t="array" ref="K203">Common_InputFunctions.Utility_DisplayArrayInTable(Fertiliser_SourceData.Fertiliser_Products_Data4(),FertiliserProducts[[#Headers],[Company]], 91)</f>
        <v>9</v>
      </c>
      <c r="L203" s="192" cm="1">
        <f t="array" ref="L203">Common_InputFunctions.Utility_DisplayArrayInTable(Fertiliser_SourceData.Fertiliser_Products_Data4(),FertiliserProducts[[#Headers],[Company]], 91)</f>
        <v>19.8</v>
      </c>
      <c r="M203" s="192" cm="1">
        <f t="array" ref="M203">Common_InputFunctions.Utility_DisplayArrayInTable(Fertiliser_SourceData.Fertiliser_Products_Data4(),FertiliserProducts[[#Headers],[Company]], 91)</f>
        <v>0</v>
      </c>
      <c r="N203" s="192" cm="1">
        <f t="array" ref="N203">Common_InputFunctions.Utility_DisplayArrayInTable(Fertiliser_SourceData.Fertiliser_Products_Data4(),FertiliserProducts[[#Headers],[Company]], 91)</f>
        <v>10.4</v>
      </c>
      <c r="O203" s="192" t="str" cm="1">
        <f t="array" ref="O203">Common_InputFunctions.Utility_DisplayArrayInTable(Fertiliser_SourceData.Fertiliser_Products_Data4(),FertiliserProducts[[#Headers],[Company]], 91)</f>
        <v>Nitrogen - Generic</v>
      </c>
      <c r="P203" s="192" cm="1">
        <f t="array" ref="P203">Common_InputFunctions.Utility_DisplayArrayInTable(Fertiliser_SourceData.Fertiliser_Products_Data4(),FertiliserProducts[[#Headers],[Company]], 91)</f>
        <v>0.09</v>
      </c>
      <c r="Q203" s="192" t="str" cm="1">
        <f t="array" ref="Q203">Common_InputFunctions.Utility_DisplayArrayInTable(Fertiliser_SourceData.Fertiliser_Products_Data4(),FertiliserProducts[[#Headers],[Company]], 91)</f>
        <v>Phosphorus - Generic</v>
      </c>
      <c r="R203" s="192" cm="1">
        <f t="array" ref="R203">Common_InputFunctions.Utility_DisplayArrayInTable(Fertiliser_SourceData.Fertiliser_Products_Data4(),FertiliserProducts[[#Headers],[Company]], 91)</f>
        <v>0.19800000000000001</v>
      </c>
      <c r="S203" s="192" t="str" cm="1">
        <f t="array" ref="S203">Common_InputFunctions.Utility_DisplayArrayInTable(Fertiliser_SourceData.Fertiliser_Products_Data4(),FertiliserProducts[[#Headers],[Company]], 91)</f>
        <v>Sulfur - Generic</v>
      </c>
      <c r="T203" s="192" cm="1">
        <f t="array" ref="T203">Common_InputFunctions.Utility_DisplayArrayInTable(Fertiliser_SourceData.Fertiliser_Products_Data4(),FertiliserProducts[[#Headers],[Company]], 91)</f>
        <v>0.104</v>
      </c>
      <c r="U203" s="192" t="str" cm="1">
        <f t="array" ref="U203">Common_InputFunctions.Utility_DisplayArrayInTable(Fertiliser_SourceData.Fertiliser_Products_Data4(),FertiliserProducts[[#Headers],[Company]], 91)</f>
        <v/>
      </c>
      <c r="V203" s="192" t="str" cm="1">
        <f t="array" ref="V203">Common_InputFunctions.Utility_DisplayArrayInTable(Fertiliser_SourceData.Fertiliser_Products_Data4(),FertiliserProducts[[#Headers],[Company]], 91)</f>
        <v/>
      </c>
      <c r="W203" s="192" t="str" cm="1">
        <f t="array" ref="W203">Common_InputFunctions.Utility_DisplayArrayInTable(Fertiliser_SourceData.Fertiliser_Products_Data4(),FertiliserProducts[[#Headers],[Company]], 91)</f>
        <v/>
      </c>
      <c r="X203" s="192" t="str" cm="1">
        <f t="array" ref="X203">Common_InputFunctions.Utility_DisplayArrayInTable(Fertiliser_SourceData.Fertiliser_Products_Data4(),FertiliserProducts[[#Headers],[Company]], 91)</f>
        <v/>
      </c>
      <c r="Y203" s="192" t="str" cm="1">
        <f t="array" ref="Y203">Common_InputFunctions.Utility_DisplayArrayInTable(Fertiliser_SourceData.Fertiliser_Products_Data4(),FertiliserProducts[[#Headers],[Company]], 91)</f>
        <v/>
      </c>
      <c r="Z203" s="192" t="str" cm="1">
        <f t="array" ref="Z203">Common_InputFunctions.Utility_DisplayArrayInTable(Fertiliser_SourceData.Fertiliser_Products_Data4(),FertiliserProducts[[#Headers],[Company]], 91)</f>
        <v/>
      </c>
      <c r="AA203" s="192" t="str" cm="1">
        <f t="array" ref="AA203">Common_InputFunctions.Utility_DisplayArrayInTable(Fertiliser_SourceData.Fertiliser_Products_Data4(),FertiliserProducts[[#Headers],[Company]], 91)</f>
        <v/>
      </c>
      <c r="AB203" s="192" t="str" cm="1">
        <f t="array" ref="AB203">Common_InputFunctions.Utility_DisplayArrayInTable(Fertiliser_SourceData.Fertiliser_Products_Data4(),FertiliserProducts[[#Headers],[Company]], 91)</f>
        <v/>
      </c>
      <c r="AC203" s="192" t="str" cm="1">
        <f t="array" ref="AC203">Common_InputFunctions.Utility_DisplayArrayInTable(Fertiliser_SourceData.Fertiliser_Products_Data4(),FertiliserProducts[[#Headers],[Company]], 91)</f>
        <v/>
      </c>
      <c r="AD203" s="192" t="str" cm="1">
        <f t="array" ref="AD203">Common_InputFunctions.Utility_DisplayArrayInTable(Fertiliser_SourceData.Fertiliser_Products_Data4(),FertiliserProducts[[#Headers],[Company]], 91)</f>
        <v/>
      </c>
      <c r="AE203" s="192" t="str" cm="1">
        <f t="array" ref="AE203">Common_InputFunctions.Utility_DisplayArrayInTable(Fertiliser_SourceData.Fertiliser_Products_Data4(),FertiliserProducts[[#Headers],[Company]], 91)</f>
        <v/>
      </c>
      <c r="AF203" s="192" t="str" cm="1">
        <f t="array" ref="AF203">Common_InputFunctions.Utility_DisplayArrayInTable(Fertiliser_SourceData.Fertiliser_Products_Data4(),FertiliserProducts[[#Headers],[Company]], 91)</f>
        <v/>
      </c>
      <c r="AG203" s="192" t="str" cm="1">
        <f t="array" ref="AG203">Common_InputFunctions.Utility_DisplayArrayInTable(Fertiliser_SourceData.Fertiliser_Products_Data4(),FertiliserProducts[[#Headers],[Company]], 91)</f>
        <v/>
      </c>
      <c r="AH203" s="192" t="str" cm="1">
        <f t="array" ref="AH203">Common_InputFunctions.Utility_DisplayArrayInTable(Fertiliser_SourceData.Fertiliser_Products_Data4(),FertiliserProducts[[#Headers],[Company]], 91)</f>
        <v/>
      </c>
    </row>
    <row r="204" spans="4:34" x14ac:dyDescent="0.25">
      <c r="D204" s="192" t="str" cm="1">
        <f t="array" ref="D204">Common_InputFunctions.Utility_DisplayArrayInTable(Fertiliser_SourceData.Fertiliser_Products_Data4(),FertiliserProducts[[#Headers],[Company]], 91)</f>
        <v>Wengfu Australia</v>
      </c>
      <c r="E204" s="192" t="str" cm="1">
        <f t="array" ref="E204">Common_InputFunctions.Utility_DisplayArrayInTable(Fertiliser_SourceData.Fertiliser_Products_Data4(),FertiliserProducts[[#Headers],[Company]], 91)</f>
        <v>Wengfu 15-17-0-15 DAP SuStain</v>
      </c>
      <c r="F204" s="192" t="str" cm="1">
        <f t="array" ref="F204">Common_InputFunctions.Utility_DisplayArrayInTable(Fertiliser_SourceData.Fertiliser_Products_Data4(),FertiliserProducts[[#Headers],[Company]], 91)</f>
        <v>kg</v>
      </c>
      <c r="G204" s="192" cm="1">
        <f t="array" ref="G204">Common_InputFunctions.Utility_DisplayArrayInTable(Fertiliser_SourceData.Fertiliser_Products_Data4(),FertiliserProducts[[#Headers],[Company]], 91)</f>
        <v>1</v>
      </c>
      <c r="H204" s="192" t="str" cm="1">
        <f t="array" ref="H204">Common_InputFunctions.Utility_DisplayArrayInTable(Fertiliser_SourceData.Fertiliser_Products_Data4(),FertiliserProducts[[#Headers],[Company]], 91)</f>
        <v/>
      </c>
      <c r="I204" s="192" t="str" cm="1">
        <f t="array" ref="I204">Common_InputFunctions.Utility_DisplayArrayInTable(Fertiliser_SourceData.Fertiliser_Products_Data4(),FertiliserProducts[[#Headers],[Company]], 91)</f>
        <v/>
      </c>
      <c r="J204" s="192" t="str" cm="1">
        <f t="array" ref="J204">Common_InputFunctions.Utility_DisplayArrayInTable(Fertiliser_SourceData.Fertiliser_Products_Data4(),FertiliserProducts[[#Headers],[Company]], 91)</f>
        <v/>
      </c>
      <c r="K204" s="192" cm="1">
        <f t="array" ref="K204">Common_InputFunctions.Utility_DisplayArrayInTable(Fertiliser_SourceData.Fertiliser_Products_Data4(),FertiliserProducts[[#Headers],[Company]], 91)</f>
        <v>15.2</v>
      </c>
      <c r="L204" s="192" cm="1">
        <f t="array" ref="L204">Common_InputFunctions.Utility_DisplayArrayInTable(Fertiliser_SourceData.Fertiliser_Products_Data4(),FertiliserProducts[[#Headers],[Company]], 91)</f>
        <v>16.899999999999999</v>
      </c>
      <c r="M204" s="192" cm="1">
        <f t="array" ref="M204">Common_InputFunctions.Utility_DisplayArrayInTable(Fertiliser_SourceData.Fertiliser_Products_Data4(),FertiliserProducts[[#Headers],[Company]], 91)</f>
        <v>0</v>
      </c>
      <c r="N204" s="192" cm="1">
        <f t="array" ref="N204">Common_InputFunctions.Utility_DisplayArrayInTable(Fertiliser_SourceData.Fertiliser_Products_Data4(),FertiliserProducts[[#Headers],[Company]], 91)</f>
        <v>15.2</v>
      </c>
      <c r="O204" s="192" t="str" cm="1">
        <f t="array" ref="O204">Common_InputFunctions.Utility_DisplayArrayInTable(Fertiliser_SourceData.Fertiliser_Products_Data4(),FertiliserProducts[[#Headers],[Company]], 91)</f>
        <v>Nitrogen - Generic</v>
      </c>
      <c r="P204" s="192" cm="1">
        <f t="array" ref="P204">Common_InputFunctions.Utility_DisplayArrayInTable(Fertiliser_SourceData.Fertiliser_Products_Data4(),FertiliserProducts[[#Headers],[Company]], 91)</f>
        <v>0.152</v>
      </c>
      <c r="Q204" s="192" t="str" cm="1">
        <f t="array" ref="Q204">Common_InputFunctions.Utility_DisplayArrayInTable(Fertiliser_SourceData.Fertiliser_Products_Data4(),FertiliserProducts[[#Headers],[Company]], 91)</f>
        <v>Phosphorus - Generic</v>
      </c>
      <c r="R204" s="192" cm="1">
        <f t="array" ref="R204">Common_InputFunctions.Utility_DisplayArrayInTable(Fertiliser_SourceData.Fertiliser_Products_Data4(),FertiliserProducts[[#Headers],[Company]], 91)</f>
        <v>0.16900000000000001</v>
      </c>
      <c r="S204" s="192" t="str" cm="1">
        <f t="array" ref="S204">Common_InputFunctions.Utility_DisplayArrayInTable(Fertiliser_SourceData.Fertiliser_Products_Data4(),FertiliserProducts[[#Headers],[Company]], 91)</f>
        <v>Sulfur - Generic</v>
      </c>
      <c r="T204" s="192" cm="1">
        <f t="array" ref="T204">Common_InputFunctions.Utility_DisplayArrayInTable(Fertiliser_SourceData.Fertiliser_Products_Data4(),FertiliserProducts[[#Headers],[Company]], 91)</f>
        <v>0.152</v>
      </c>
      <c r="U204" s="192" t="str" cm="1">
        <f t="array" ref="U204">Common_InputFunctions.Utility_DisplayArrayInTable(Fertiliser_SourceData.Fertiliser_Products_Data4(),FertiliserProducts[[#Headers],[Company]], 91)</f>
        <v/>
      </c>
      <c r="V204" s="192" t="str" cm="1">
        <f t="array" ref="V204">Common_InputFunctions.Utility_DisplayArrayInTable(Fertiliser_SourceData.Fertiliser_Products_Data4(),FertiliserProducts[[#Headers],[Company]], 91)</f>
        <v/>
      </c>
      <c r="W204" s="192" t="str" cm="1">
        <f t="array" ref="W204">Common_InputFunctions.Utility_DisplayArrayInTable(Fertiliser_SourceData.Fertiliser_Products_Data4(),FertiliserProducts[[#Headers],[Company]], 91)</f>
        <v/>
      </c>
      <c r="X204" s="192" t="str" cm="1">
        <f t="array" ref="X204">Common_InputFunctions.Utility_DisplayArrayInTable(Fertiliser_SourceData.Fertiliser_Products_Data4(),FertiliserProducts[[#Headers],[Company]], 91)</f>
        <v/>
      </c>
      <c r="Y204" s="192" t="str" cm="1">
        <f t="array" ref="Y204">Common_InputFunctions.Utility_DisplayArrayInTable(Fertiliser_SourceData.Fertiliser_Products_Data4(),FertiliserProducts[[#Headers],[Company]], 91)</f>
        <v/>
      </c>
      <c r="Z204" s="192" t="str" cm="1">
        <f t="array" ref="Z204">Common_InputFunctions.Utility_DisplayArrayInTable(Fertiliser_SourceData.Fertiliser_Products_Data4(),FertiliserProducts[[#Headers],[Company]], 91)</f>
        <v/>
      </c>
      <c r="AA204" s="192" t="str" cm="1">
        <f t="array" ref="AA204">Common_InputFunctions.Utility_DisplayArrayInTable(Fertiliser_SourceData.Fertiliser_Products_Data4(),FertiliserProducts[[#Headers],[Company]], 91)</f>
        <v/>
      </c>
      <c r="AB204" s="192" t="str" cm="1">
        <f t="array" ref="AB204">Common_InputFunctions.Utility_DisplayArrayInTable(Fertiliser_SourceData.Fertiliser_Products_Data4(),FertiliserProducts[[#Headers],[Company]], 91)</f>
        <v/>
      </c>
      <c r="AC204" s="192" t="str" cm="1">
        <f t="array" ref="AC204">Common_InputFunctions.Utility_DisplayArrayInTable(Fertiliser_SourceData.Fertiliser_Products_Data4(),FertiliserProducts[[#Headers],[Company]], 91)</f>
        <v/>
      </c>
      <c r="AD204" s="192" t="str" cm="1">
        <f t="array" ref="AD204">Common_InputFunctions.Utility_DisplayArrayInTable(Fertiliser_SourceData.Fertiliser_Products_Data4(),FertiliserProducts[[#Headers],[Company]], 91)</f>
        <v/>
      </c>
      <c r="AE204" s="192" t="str" cm="1">
        <f t="array" ref="AE204">Common_InputFunctions.Utility_DisplayArrayInTable(Fertiliser_SourceData.Fertiliser_Products_Data4(),FertiliserProducts[[#Headers],[Company]], 91)</f>
        <v/>
      </c>
      <c r="AF204" s="192" t="str" cm="1">
        <f t="array" ref="AF204">Common_InputFunctions.Utility_DisplayArrayInTable(Fertiliser_SourceData.Fertiliser_Products_Data4(),FertiliserProducts[[#Headers],[Company]], 91)</f>
        <v/>
      </c>
      <c r="AG204" s="192" t="str" cm="1">
        <f t="array" ref="AG204">Common_InputFunctions.Utility_DisplayArrayInTable(Fertiliser_SourceData.Fertiliser_Products_Data4(),FertiliserProducts[[#Headers],[Company]], 91)</f>
        <v/>
      </c>
      <c r="AH204" s="192" t="str" cm="1">
        <f t="array" ref="AH204">Common_InputFunctions.Utility_DisplayArrayInTable(Fertiliser_SourceData.Fertiliser_Products_Data4(),FertiliserProducts[[#Headers],[Company]], 91)</f>
        <v/>
      </c>
    </row>
    <row r="205" spans="4:34" x14ac:dyDescent="0.25">
      <c r="D205" s="192" t="str" cm="1">
        <f t="array" ref="D205">Common_InputFunctions.Utility_DisplayArrayInTable(Fertiliser_SourceData.Fertiliser_Products_Data4(),FertiliserProducts[[#Headers],[Company]], 91)</f>
        <v>Wengfu Australia</v>
      </c>
      <c r="E205" s="192" t="str" cm="1">
        <f t="array" ref="E205">Common_InputFunctions.Utility_DisplayArrayInTable(Fertiliser_SourceData.Fertiliser_Products_Data4(),FertiliserProducts[[#Headers],[Company]], 91)</f>
        <v>Wengfu 16-18-0-10 DAP SuStain</v>
      </c>
      <c r="F205" s="192" t="str" cm="1">
        <f t="array" ref="F205">Common_InputFunctions.Utility_DisplayArrayInTable(Fertiliser_SourceData.Fertiliser_Products_Data4(),FertiliserProducts[[#Headers],[Company]], 91)</f>
        <v>kg</v>
      </c>
      <c r="G205" s="192" cm="1">
        <f t="array" ref="G205">Common_InputFunctions.Utility_DisplayArrayInTable(Fertiliser_SourceData.Fertiliser_Products_Data4(),FertiliserProducts[[#Headers],[Company]], 91)</f>
        <v>1</v>
      </c>
      <c r="H205" s="192" t="str" cm="1">
        <f t="array" ref="H205">Common_InputFunctions.Utility_DisplayArrayInTable(Fertiliser_SourceData.Fertiliser_Products_Data4(),FertiliserProducts[[#Headers],[Company]], 91)</f>
        <v/>
      </c>
      <c r="I205" s="192" t="str" cm="1">
        <f t="array" ref="I205">Common_InputFunctions.Utility_DisplayArrayInTable(Fertiliser_SourceData.Fertiliser_Products_Data4(),FertiliserProducts[[#Headers],[Company]], 91)</f>
        <v/>
      </c>
      <c r="J205" s="192" t="str" cm="1">
        <f t="array" ref="J205">Common_InputFunctions.Utility_DisplayArrayInTable(Fertiliser_SourceData.Fertiliser_Products_Data4(),FertiliserProducts[[#Headers],[Company]], 91)</f>
        <v/>
      </c>
      <c r="K205" s="192" cm="1">
        <f t="array" ref="K205">Common_InputFunctions.Utility_DisplayArrayInTable(Fertiliser_SourceData.Fertiliser_Products_Data4(),FertiliserProducts[[#Headers],[Company]], 91)</f>
        <v>16.2</v>
      </c>
      <c r="L205" s="192" cm="1">
        <f t="array" ref="L205">Common_InputFunctions.Utility_DisplayArrayInTable(Fertiliser_SourceData.Fertiliser_Products_Data4(),FertiliserProducts[[#Headers],[Company]], 91)</f>
        <v>18</v>
      </c>
      <c r="M205" s="192" cm="1">
        <f t="array" ref="M205">Common_InputFunctions.Utility_DisplayArrayInTable(Fertiliser_SourceData.Fertiliser_Products_Data4(),FertiliserProducts[[#Headers],[Company]], 91)</f>
        <v>0</v>
      </c>
      <c r="N205" s="192" cm="1">
        <f t="array" ref="N205">Common_InputFunctions.Utility_DisplayArrayInTable(Fertiliser_SourceData.Fertiliser_Products_Data4(),FertiliserProducts[[#Headers],[Company]], 91)</f>
        <v>10.4</v>
      </c>
      <c r="O205" s="192" t="str" cm="1">
        <f t="array" ref="O205">Common_InputFunctions.Utility_DisplayArrayInTable(Fertiliser_SourceData.Fertiliser_Products_Data4(),FertiliserProducts[[#Headers],[Company]], 91)</f>
        <v>Nitrogen - Generic</v>
      </c>
      <c r="P205" s="192" cm="1">
        <f t="array" ref="P205">Common_InputFunctions.Utility_DisplayArrayInTable(Fertiliser_SourceData.Fertiliser_Products_Data4(),FertiliserProducts[[#Headers],[Company]], 91)</f>
        <v>0.16200000000000001</v>
      </c>
      <c r="Q205" s="192" t="str" cm="1">
        <f t="array" ref="Q205">Common_InputFunctions.Utility_DisplayArrayInTable(Fertiliser_SourceData.Fertiliser_Products_Data4(),FertiliserProducts[[#Headers],[Company]], 91)</f>
        <v>Phosphorus - Generic</v>
      </c>
      <c r="R205" s="192" cm="1">
        <f t="array" ref="R205">Common_InputFunctions.Utility_DisplayArrayInTable(Fertiliser_SourceData.Fertiliser_Products_Data4(),FertiliserProducts[[#Headers],[Company]], 91)</f>
        <v>0.18</v>
      </c>
      <c r="S205" s="192" t="str" cm="1">
        <f t="array" ref="S205">Common_InputFunctions.Utility_DisplayArrayInTable(Fertiliser_SourceData.Fertiliser_Products_Data4(),FertiliserProducts[[#Headers],[Company]], 91)</f>
        <v>Sulfur - Generic</v>
      </c>
      <c r="T205" s="192" cm="1">
        <f t="array" ref="T205">Common_InputFunctions.Utility_DisplayArrayInTable(Fertiliser_SourceData.Fertiliser_Products_Data4(),FertiliserProducts[[#Headers],[Company]], 91)</f>
        <v>0.104</v>
      </c>
      <c r="U205" s="192" t="str" cm="1">
        <f t="array" ref="U205">Common_InputFunctions.Utility_DisplayArrayInTable(Fertiliser_SourceData.Fertiliser_Products_Data4(),FertiliserProducts[[#Headers],[Company]], 91)</f>
        <v/>
      </c>
      <c r="V205" s="192" t="str" cm="1">
        <f t="array" ref="V205">Common_InputFunctions.Utility_DisplayArrayInTable(Fertiliser_SourceData.Fertiliser_Products_Data4(),FertiliserProducts[[#Headers],[Company]], 91)</f>
        <v/>
      </c>
      <c r="W205" s="192" t="str" cm="1">
        <f t="array" ref="W205">Common_InputFunctions.Utility_DisplayArrayInTable(Fertiliser_SourceData.Fertiliser_Products_Data4(),FertiliserProducts[[#Headers],[Company]], 91)</f>
        <v/>
      </c>
      <c r="X205" s="192" t="str" cm="1">
        <f t="array" ref="X205">Common_InputFunctions.Utility_DisplayArrayInTable(Fertiliser_SourceData.Fertiliser_Products_Data4(),FertiliserProducts[[#Headers],[Company]], 91)</f>
        <v/>
      </c>
      <c r="Y205" s="192" t="str" cm="1">
        <f t="array" ref="Y205">Common_InputFunctions.Utility_DisplayArrayInTable(Fertiliser_SourceData.Fertiliser_Products_Data4(),FertiliserProducts[[#Headers],[Company]], 91)</f>
        <v/>
      </c>
      <c r="Z205" s="192" t="str" cm="1">
        <f t="array" ref="Z205">Common_InputFunctions.Utility_DisplayArrayInTable(Fertiliser_SourceData.Fertiliser_Products_Data4(),FertiliserProducts[[#Headers],[Company]], 91)</f>
        <v/>
      </c>
      <c r="AA205" s="192" t="str" cm="1">
        <f t="array" ref="AA205">Common_InputFunctions.Utility_DisplayArrayInTable(Fertiliser_SourceData.Fertiliser_Products_Data4(),FertiliserProducts[[#Headers],[Company]], 91)</f>
        <v/>
      </c>
      <c r="AB205" s="192" t="str" cm="1">
        <f t="array" ref="AB205">Common_InputFunctions.Utility_DisplayArrayInTable(Fertiliser_SourceData.Fertiliser_Products_Data4(),FertiliserProducts[[#Headers],[Company]], 91)</f>
        <v/>
      </c>
      <c r="AC205" s="192" t="str" cm="1">
        <f t="array" ref="AC205">Common_InputFunctions.Utility_DisplayArrayInTable(Fertiliser_SourceData.Fertiliser_Products_Data4(),FertiliserProducts[[#Headers],[Company]], 91)</f>
        <v/>
      </c>
      <c r="AD205" s="192" t="str" cm="1">
        <f t="array" ref="AD205">Common_InputFunctions.Utility_DisplayArrayInTable(Fertiliser_SourceData.Fertiliser_Products_Data4(),FertiliserProducts[[#Headers],[Company]], 91)</f>
        <v/>
      </c>
      <c r="AE205" s="192" t="str" cm="1">
        <f t="array" ref="AE205">Common_InputFunctions.Utility_DisplayArrayInTable(Fertiliser_SourceData.Fertiliser_Products_Data4(),FertiliserProducts[[#Headers],[Company]], 91)</f>
        <v/>
      </c>
      <c r="AF205" s="192" t="str" cm="1">
        <f t="array" ref="AF205">Common_InputFunctions.Utility_DisplayArrayInTable(Fertiliser_SourceData.Fertiliser_Products_Data4(),FertiliserProducts[[#Headers],[Company]], 91)</f>
        <v/>
      </c>
      <c r="AG205" s="192" t="str" cm="1">
        <f t="array" ref="AG205">Common_InputFunctions.Utility_DisplayArrayInTable(Fertiliser_SourceData.Fertiliser_Products_Data4(),FertiliserProducts[[#Headers],[Company]], 91)</f>
        <v/>
      </c>
      <c r="AH205" s="192" t="str" cm="1">
        <f t="array" ref="AH205">Common_InputFunctions.Utility_DisplayArrayInTable(Fertiliser_SourceData.Fertiliser_Products_Data4(),FertiliserProducts[[#Headers],[Company]], 91)</f>
        <v/>
      </c>
    </row>
    <row r="206" spans="4:34" x14ac:dyDescent="0.25">
      <c r="D206" s="192" t="str" cm="1">
        <f t="array" ref="D206">Common_InputFunctions.Utility_DisplayArrayInTable(Fertiliser_SourceData.Fertiliser_Products_Data4(),FertiliserProducts[[#Headers],[Company]], 91)</f>
        <v>Wengfu Australia</v>
      </c>
      <c r="E206" s="192" t="str" cm="1">
        <f t="array" ref="E206">Common_InputFunctions.Utility_DisplayArrayInTable(Fertiliser_SourceData.Fertiliser_Products_Data4(),FertiliserProducts[[#Headers],[Company]], 91)</f>
        <v>Wengfu 5-15-0-6 Fast Start Legume</v>
      </c>
      <c r="F206" s="192" t="str" cm="1">
        <f t="array" ref="F206">Common_InputFunctions.Utility_DisplayArrayInTable(Fertiliser_SourceData.Fertiliser_Products_Data4(),FertiliserProducts[[#Headers],[Company]], 91)</f>
        <v>kg</v>
      </c>
      <c r="G206" s="192" cm="1">
        <f t="array" ref="G206">Common_InputFunctions.Utility_DisplayArrayInTable(Fertiliser_SourceData.Fertiliser_Products_Data4(),FertiliserProducts[[#Headers],[Company]], 91)</f>
        <v>1</v>
      </c>
      <c r="H206" s="192" t="str" cm="1">
        <f t="array" ref="H206">Common_InputFunctions.Utility_DisplayArrayInTable(Fertiliser_SourceData.Fertiliser_Products_Data4(),FertiliserProducts[[#Headers],[Company]], 91)</f>
        <v/>
      </c>
      <c r="I206" s="192" t="str" cm="1">
        <f t="array" ref="I206">Common_InputFunctions.Utility_DisplayArrayInTable(Fertiliser_SourceData.Fertiliser_Products_Data4(),FertiliserProducts[[#Headers],[Company]], 91)</f>
        <v/>
      </c>
      <c r="J206" s="192" t="str" cm="1">
        <f t="array" ref="J206">Common_InputFunctions.Utility_DisplayArrayInTable(Fertiliser_SourceData.Fertiliser_Products_Data4(),FertiliserProducts[[#Headers],[Company]], 91)</f>
        <v/>
      </c>
      <c r="K206" s="192" cm="1">
        <f t="array" ref="K206">Common_InputFunctions.Utility_DisplayArrayInTable(Fertiliser_SourceData.Fertiliser_Products_Data4(),FertiliserProducts[[#Headers],[Company]], 91)</f>
        <v>5</v>
      </c>
      <c r="L206" s="192" cm="1">
        <f t="array" ref="L206">Common_InputFunctions.Utility_DisplayArrayInTable(Fertiliser_SourceData.Fertiliser_Products_Data4(),FertiliserProducts[[#Headers],[Company]], 91)</f>
        <v>15.4</v>
      </c>
      <c r="M206" s="192" cm="1">
        <f t="array" ref="M206">Common_InputFunctions.Utility_DisplayArrayInTable(Fertiliser_SourceData.Fertiliser_Products_Data4(),FertiliserProducts[[#Headers],[Company]], 91)</f>
        <v>0</v>
      </c>
      <c r="N206" s="192" cm="1">
        <f t="array" ref="N206">Common_InputFunctions.Utility_DisplayArrayInTable(Fertiliser_SourceData.Fertiliser_Products_Data4(),FertiliserProducts[[#Headers],[Company]], 91)</f>
        <v>6.3</v>
      </c>
      <c r="O206" s="192" t="str" cm="1">
        <f t="array" ref="O206">Common_InputFunctions.Utility_DisplayArrayInTable(Fertiliser_SourceData.Fertiliser_Products_Data4(),FertiliserProducts[[#Headers],[Company]], 91)</f>
        <v>Nitrogen - Generic</v>
      </c>
      <c r="P206" s="192" cm="1">
        <f t="array" ref="P206">Common_InputFunctions.Utility_DisplayArrayInTable(Fertiliser_SourceData.Fertiliser_Products_Data4(),FertiliserProducts[[#Headers],[Company]], 91)</f>
        <v>0.05</v>
      </c>
      <c r="Q206" s="192" t="str" cm="1">
        <f t="array" ref="Q206">Common_InputFunctions.Utility_DisplayArrayInTable(Fertiliser_SourceData.Fertiliser_Products_Data4(),FertiliserProducts[[#Headers],[Company]], 91)</f>
        <v>Phosphorus - Generic</v>
      </c>
      <c r="R206" s="192" cm="1">
        <f t="array" ref="R206">Common_InputFunctions.Utility_DisplayArrayInTable(Fertiliser_SourceData.Fertiliser_Products_Data4(),FertiliserProducts[[#Headers],[Company]], 91)</f>
        <v>0.154</v>
      </c>
      <c r="S206" s="192" t="str" cm="1">
        <f t="array" ref="S206">Common_InputFunctions.Utility_DisplayArrayInTable(Fertiliser_SourceData.Fertiliser_Products_Data4(),FertiliserProducts[[#Headers],[Company]], 91)</f>
        <v>Sulfur - Generic</v>
      </c>
      <c r="T206" s="192" cm="1">
        <f t="array" ref="T206">Common_InputFunctions.Utility_DisplayArrayInTable(Fertiliser_SourceData.Fertiliser_Products_Data4(),FertiliserProducts[[#Headers],[Company]], 91)</f>
        <v>6.3E-2</v>
      </c>
      <c r="U206" s="192" t="str" cm="1">
        <f t="array" ref="U206">Common_InputFunctions.Utility_DisplayArrayInTable(Fertiliser_SourceData.Fertiliser_Products_Data4(),FertiliserProducts[[#Headers],[Company]], 91)</f>
        <v/>
      </c>
      <c r="V206" s="192" t="str" cm="1">
        <f t="array" ref="V206">Common_InputFunctions.Utility_DisplayArrayInTable(Fertiliser_SourceData.Fertiliser_Products_Data4(),FertiliserProducts[[#Headers],[Company]], 91)</f>
        <v/>
      </c>
      <c r="W206" s="192" t="str" cm="1">
        <f t="array" ref="W206">Common_InputFunctions.Utility_DisplayArrayInTable(Fertiliser_SourceData.Fertiliser_Products_Data4(),FertiliserProducts[[#Headers],[Company]], 91)</f>
        <v/>
      </c>
      <c r="X206" s="192" t="str" cm="1">
        <f t="array" ref="X206">Common_InputFunctions.Utility_DisplayArrayInTable(Fertiliser_SourceData.Fertiliser_Products_Data4(),FertiliserProducts[[#Headers],[Company]], 91)</f>
        <v/>
      </c>
      <c r="Y206" s="192" t="str" cm="1">
        <f t="array" ref="Y206">Common_InputFunctions.Utility_DisplayArrayInTable(Fertiliser_SourceData.Fertiliser_Products_Data4(),FertiliserProducts[[#Headers],[Company]], 91)</f>
        <v/>
      </c>
      <c r="Z206" s="192" t="str" cm="1">
        <f t="array" ref="Z206">Common_InputFunctions.Utility_DisplayArrayInTable(Fertiliser_SourceData.Fertiliser_Products_Data4(),FertiliserProducts[[#Headers],[Company]], 91)</f>
        <v/>
      </c>
      <c r="AA206" s="192" t="str" cm="1">
        <f t="array" ref="AA206">Common_InputFunctions.Utility_DisplayArrayInTable(Fertiliser_SourceData.Fertiliser_Products_Data4(),FertiliserProducts[[#Headers],[Company]], 91)</f>
        <v/>
      </c>
      <c r="AB206" s="192" t="str" cm="1">
        <f t="array" ref="AB206">Common_InputFunctions.Utility_DisplayArrayInTable(Fertiliser_SourceData.Fertiliser_Products_Data4(),FertiliserProducts[[#Headers],[Company]], 91)</f>
        <v/>
      </c>
      <c r="AC206" s="192" t="str" cm="1">
        <f t="array" ref="AC206">Common_InputFunctions.Utility_DisplayArrayInTable(Fertiliser_SourceData.Fertiliser_Products_Data4(),FertiliserProducts[[#Headers],[Company]], 91)</f>
        <v/>
      </c>
      <c r="AD206" s="192" t="str" cm="1">
        <f t="array" ref="AD206">Common_InputFunctions.Utility_DisplayArrayInTable(Fertiliser_SourceData.Fertiliser_Products_Data4(),FertiliserProducts[[#Headers],[Company]], 91)</f>
        <v/>
      </c>
      <c r="AE206" s="192" t="str" cm="1">
        <f t="array" ref="AE206">Common_InputFunctions.Utility_DisplayArrayInTable(Fertiliser_SourceData.Fertiliser_Products_Data4(),FertiliserProducts[[#Headers],[Company]], 91)</f>
        <v/>
      </c>
      <c r="AF206" s="192" t="str" cm="1">
        <f t="array" ref="AF206">Common_InputFunctions.Utility_DisplayArrayInTable(Fertiliser_SourceData.Fertiliser_Products_Data4(),FertiliserProducts[[#Headers],[Company]], 91)</f>
        <v/>
      </c>
      <c r="AG206" s="192" t="str" cm="1">
        <f t="array" ref="AG206">Common_InputFunctions.Utility_DisplayArrayInTable(Fertiliser_SourceData.Fertiliser_Products_Data4(),FertiliserProducts[[#Headers],[Company]], 91)</f>
        <v/>
      </c>
      <c r="AH206" s="192" t="str" cm="1">
        <f t="array" ref="AH206">Common_InputFunctions.Utility_DisplayArrayInTable(Fertiliser_SourceData.Fertiliser_Products_Data4(),FertiliserProducts[[#Headers],[Company]], 91)</f>
        <v/>
      </c>
    </row>
    <row r="207" spans="4:34" x14ac:dyDescent="0.25">
      <c r="D207" s="192" t="str" cm="1">
        <f t="array" ref="D207">Common_InputFunctions.Utility_DisplayArrayInTable(Fertiliser_SourceData.Fertiliser_Products_Data4(),FertiliserProducts[[#Headers],[Company]], 91)</f>
        <v>Wengfu Australia</v>
      </c>
      <c r="E207" s="192" t="str" cm="1">
        <f t="array" ref="E207">Common_InputFunctions.Utility_DisplayArrayInTable(Fertiliser_SourceData.Fertiliser_Products_Data4(),FertiliserProducts[[#Headers],[Company]], 91)</f>
        <v>Wengfu 9-20-0-10 PrimeZinc</v>
      </c>
      <c r="F207" s="192" t="str" cm="1">
        <f t="array" ref="F207">Common_InputFunctions.Utility_DisplayArrayInTable(Fertiliser_SourceData.Fertiliser_Products_Data4(),FertiliserProducts[[#Headers],[Company]], 91)</f>
        <v>kg</v>
      </c>
      <c r="G207" s="192" cm="1">
        <f t="array" ref="G207">Common_InputFunctions.Utility_DisplayArrayInTable(Fertiliser_SourceData.Fertiliser_Products_Data4(),FertiliserProducts[[#Headers],[Company]], 91)</f>
        <v>1</v>
      </c>
      <c r="H207" s="192" t="str" cm="1">
        <f t="array" ref="H207">Common_InputFunctions.Utility_DisplayArrayInTable(Fertiliser_SourceData.Fertiliser_Products_Data4(),FertiliserProducts[[#Headers],[Company]], 91)</f>
        <v/>
      </c>
      <c r="I207" s="192" t="str" cm="1">
        <f t="array" ref="I207">Common_InputFunctions.Utility_DisplayArrayInTable(Fertiliser_SourceData.Fertiliser_Products_Data4(),FertiliserProducts[[#Headers],[Company]], 91)</f>
        <v/>
      </c>
      <c r="J207" s="192" t="str" cm="1">
        <f t="array" ref="J207">Common_InputFunctions.Utility_DisplayArrayInTable(Fertiliser_SourceData.Fertiliser_Products_Data4(),FertiliserProducts[[#Headers],[Company]], 91)</f>
        <v/>
      </c>
      <c r="K207" s="192" cm="1">
        <f t="array" ref="K207">Common_InputFunctions.Utility_DisplayArrayInTable(Fertiliser_SourceData.Fertiliser_Products_Data4(),FertiliserProducts[[#Headers],[Company]], 91)</f>
        <v>9</v>
      </c>
      <c r="L207" s="192" cm="1">
        <f t="array" ref="L207">Common_InputFunctions.Utility_DisplayArrayInTable(Fertiliser_SourceData.Fertiliser_Products_Data4(),FertiliserProducts[[#Headers],[Company]], 91)</f>
        <v>19.8</v>
      </c>
      <c r="M207" s="192" cm="1">
        <f t="array" ref="M207">Common_InputFunctions.Utility_DisplayArrayInTable(Fertiliser_SourceData.Fertiliser_Products_Data4(),FertiliserProducts[[#Headers],[Company]], 91)</f>
        <v>0</v>
      </c>
      <c r="N207" s="192" cm="1">
        <f t="array" ref="N207">Common_InputFunctions.Utility_DisplayArrayInTable(Fertiliser_SourceData.Fertiliser_Products_Data4(),FertiliserProducts[[#Headers],[Company]], 91)</f>
        <v>10.4</v>
      </c>
      <c r="O207" s="192" t="str" cm="1">
        <f t="array" ref="O207">Common_InputFunctions.Utility_DisplayArrayInTable(Fertiliser_SourceData.Fertiliser_Products_Data4(),FertiliserProducts[[#Headers],[Company]], 91)</f>
        <v>Nitrogen - Generic</v>
      </c>
      <c r="P207" s="192" cm="1">
        <f t="array" ref="P207">Common_InputFunctions.Utility_DisplayArrayInTable(Fertiliser_SourceData.Fertiliser_Products_Data4(),FertiliserProducts[[#Headers],[Company]], 91)</f>
        <v>0.09</v>
      </c>
      <c r="Q207" s="192" t="str" cm="1">
        <f t="array" ref="Q207">Common_InputFunctions.Utility_DisplayArrayInTable(Fertiliser_SourceData.Fertiliser_Products_Data4(),FertiliserProducts[[#Headers],[Company]], 91)</f>
        <v>Phosphorus - Generic</v>
      </c>
      <c r="R207" s="192" cm="1">
        <f t="array" ref="R207">Common_InputFunctions.Utility_DisplayArrayInTable(Fertiliser_SourceData.Fertiliser_Products_Data4(),FertiliserProducts[[#Headers],[Company]], 91)</f>
        <v>0.19800000000000001</v>
      </c>
      <c r="S207" s="192" t="str" cm="1">
        <f t="array" ref="S207">Common_InputFunctions.Utility_DisplayArrayInTable(Fertiliser_SourceData.Fertiliser_Products_Data4(),FertiliserProducts[[#Headers],[Company]], 91)</f>
        <v>Sulfur - Generic</v>
      </c>
      <c r="T207" s="192" cm="1">
        <f t="array" ref="T207">Common_InputFunctions.Utility_DisplayArrayInTable(Fertiliser_SourceData.Fertiliser_Products_Data4(),FertiliserProducts[[#Headers],[Company]], 91)</f>
        <v>0.104</v>
      </c>
      <c r="U207" s="192" t="str" cm="1">
        <f t="array" ref="U207">Common_InputFunctions.Utility_DisplayArrayInTable(Fertiliser_SourceData.Fertiliser_Products_Data4(),FertiliserProducts[[#Headers],[Company]], 91)</f>
        <v>Zinc</v>
      </c>
      <c r="V207" s="192" cm="1">
        <f t="array" ref="V207">Common_InputFunctions.Utility_DisplayArrayInTable(Fertiliser_SourceData.Fertiliser_Products_Data4(),FertiliserProducts[[#Headers],[Company]], 91)</f>
        <v>8.9999999999999993E-3</v>
      </c>
      <c r="W207" s="192" t="str" cm="1">
        <f t="array" ref="W207">Common_InputFunctions.Utility_DisplayArrayInTable(Fertiliser_SourceData.Fertiliser_Products_Data4(),FertiliserProducts[[#Headers],[Company]], 91)</f>
        <v/>
      </c>
      <c r="X207" s="192" t="str" cm="1">
        <f t="array" ref="X207">Common_InputFunctions.Utility_DisplayArrayInTable(Fertiliser_SourceData.Fertiliser_Products_Data4(),FertiliserProducts[[#Headers],[Company]], 91)</f>
        <v/>
      </c>
      <c r="Y207" s="192" t="str" cm="1">
        <f t="array" ref="Y207">Common_InputFunctions.Utility_DisplayArrayInTable(Fertiliser_SourceData.Fertiliser_Products_Data4(),FertiliserProducts[[#Headers],[Company]], 91)</f>
        <v/>
      </c>
      <c r="Z207" s="192" t="str" cm="1">
        <f t="array" ref="Z207">Common_InputFunctions.Utility_DisplayArrayInTable(Fertiliser_SourceData.Fertiliser_Products_Data4(),FertiliserProducts[[#Headers],[Company]], 91)</f>
        <v/>
      </c>
      <c r="AA207" s="192" t="str" cm="1">
        <f t="array" ref="AA207">Common_InputFunctions.Utility_DisplayArrayInTable(Fertiliser_SourceData.Fertiliser_Products_Data4(),FertiliserProducts[[#Headers],[Company]], 91)</f>
        <v/>
      </c>
      <c r="AB207" s="192" t="str" cm="1">
        <f t="array" ref="AB207">Common_InputFunctions.Utility_DisplayArrayInTable(Fertiliser_SourceData.Fertiliser_Products_Data4(),FertiliserProducts[[#Headers],[Company]], 91)</f>
        <v/>
      </c>
      <c r="AC207" s="192" t="str" cm="1">
        <f t="array" ref="AC207">Common_InputFunctions.Utility_DisplayArrayInTable(Fertiliser_SourceData.Fertiliser_Products_Data4(),FertiliserProducts[[#Headers],[Company]], 91)</f>
        <v/>
      </c>
      <c r="AD207" s="192" t="str" cm="1">
        <f t="array" ref="AD207">Common_InputFunctions.Utility_DisplayArrayInTable(Fertiliser_SourceData.Fertiliser_Products_Data4(),FertiliserProducts[[#Headers],[Company]], 91)</f>
        <v/>
      </c>
      <c r="AE207" s="192" t="str" cm="1">
        <f t="array" ref="AE207">Common_InputFunctions.Utility_DisplayArrayInTable(Fertiliser_SourceData.Fertiliser_Products_Data4(),FertiliserProducts[[#Headers],[Company]], 91)</f>
        <v/>
      </c>
      <c r="AF207" s="192" t="str" cm="1">
        <f t="array" ref="AF207">Common_InputFunctions.Utility_DisplayArrayInTable(Fertiliser_SourceData.Fertiliser_Products_Data4(),FertiliserProducts[[#Headers],[Company]], 91)</f>
        <v/>
      </c>
      <c r="AG207" s="192" t="str" cm="1">
        <f t="array" ref="AG207">Common_InputFunctions.Utility_DisplayArrayInTable(Fertiliser_SourceData.Fertiliser_Products_Data4(),FertiliserProducts[[#Headers],[Company]], 91)</f>
        <v/>
      </c>
      <c r="AH207" s="192" t="str" cm="1">
        <f t="array" ref="AH207">Common_InputFunctions.Utility_DisplayArrayInTable(Fertiliser_SourceData.Fertiliser_Products_Data4(),FertiliserProducts[[#Headers],[Company]], 91)</f>
        <v/>
      </c>
    </row>
    <row r="208" spans="4:34" x14ac:dyDescent="0.25">
      <c r="D208" s="192" t="str" cm="1">
        <f t="array" ref="D208">Common_InputFunctions.Utility_DisplayArrayInTable(Fertiliser_SourceData.Fertiliser_Products_Data4(),FertiliserProducts[[#Headers],[Company]], 91)</f>
        <v>Wengfu Australia</v>
      </c>
      <c r="E208" s="192" t="str" cm="1">
        <f t="array" ref="E208">Common_InputFunctions.Utility_DisplayArrayInTable(Fertiliser_SourceData.Fertiliser_Products_Data4(),FertiliserProducts[[#Headers],[Company]], 91)</f>
        <v>Wengfu 12-18-0-6 PrimeZinc</v>
      </c>
      <c r="F208" s="192" t="str" cm="1">
        <f t="array" ref="F208">Common_InputFunctions.Utility_DisplayArrayInTable(Fertiliser_SourceData.Fertiliser_Products_Data4(),FertiliserProducts[[#Headers],[Company]], 91)</f>
        <v>kg</v>
      </c>
      <c r="G208" s="192" cm="1">
        <f t="array" ref="G208">Common_InputFunctions.Utility_DisplayArrayInTable(Fertiliser_SourceData.Fertiliser_Products_Data4(),FertiliserProducts[[#Headers],[Company]], 91)</f>
        <v>1</v>
      </c>
      <c r="H208" s="192" t="str" cm="1">
        <f t="array" ref="H208">Common_InputFunctions.Utility_DisplayArrayInTable(Fertiliser_SourceData.Fertiliser_Products_Data4(),FertiliserProducts[[#Headers],[Company]], 91)</f>
        <v/>
      </c>
      <c r="I208" s="192" t="str" cm="1">
        <f t="array" ref="I208">Common_InputFunctions.Utility_DisplayArrayInTable(Fertiliser_SourceData.Fertiliser_Products_Data4(),FertiliserProducts[[#Headers],[Company]], 91)</f>
        <v/>
      </c>
      <c r="J208" s="192" t="str" cm="1">
        <f t="array" ref="J208">Common_InputFunctions.Utility_DisplayArrayInTable(Fertiliser_SourceData.Fertiliser_Products_Data4(),FertiliserProducts[[#Headers],[Company]], 91)</f>
        <v/>
      </c>
      <c r="K208" s="192" cm="1">
        <f t="array" ref="K208">Common_InputFunctions.Utility_DisplayArrayInTable(Fertiliser_SourceData.Fertiliser_Products_Data4(),FertiliserProducts[[#Headers],[Company]], 91)</f>
        <v>11.9</v>
      </c>
      <c r="L208" s="192" cm="1">
        <f t="array" ref="L208">Common_InputFunctions.Utility_DisplayArrayInTable(Fertiliser_SourceData.Fertiliser_Products_Data4(),FertiliserProducts[[#Headers],[Company]], 91)</f>
        <v>17.600000000000001</v>
      </c>
      <c r="M208" s="192" cm="1">
        <f t="array" ref="M208">Common_InputFunctions.Utility_DisplayArrayInTable(Fertiliser_SourceData.Fertiliser_Products_Data4(),FertiliserProducts[[#Headers],[Company]], 91)</f>
        <v>0</v>
      </c>
      <c r="N208" s="192" cm="1">
        <f t="array" ref="N208">Common_InputFunctions.Utility_DisplayArrayInTable(Fertiliser_SourceData.Fertiliser_Products_Data4(),FertiliserProducts[[#Headers],[Company]], 91)</f>
        <v>5.9</v>
      </c>
      <c r="O208" s="192" t="str" cm="1">
        <f t="array" ref="O208">Common_InputFunctions.Utility_DisplayArrayInTable(Fertiliser_SourceData.Fertiliser_Products_Data4(),FertiliserProducts[[#Headers],[Company]], 91)</f>
        <v>Nitrogen - Generic</v>
      </c>
      <c r="P208" s="192" cm="1">
        <f t="array" ref="P208">Common_InputFunctions.Utility_DisplayArrayInTable(Fertiliser_SourceData.Fertiliser_Products_Data4(),FertiliserProducts[[#Headers],[Company]], 91)</f>
        <v>0.11899999999999999</v>
      </c>
      <c r="Q208" s="192" t="str" cm="1">
        <f t="array" ref="Q208">Common_InputFunctions.Utility_DisplayArrayInTable(Fertiliser_SourceData.Fertiliser_Products_Data4(),FertiliserProducts[[#Headers],[Company]], 91)</f>
        <v>Phosphorus - Generic</v>
      </c>
      <c r="R208" s="192" cm="1">
        <f t="array" ref="R208">Common_InputFunctions.Utility_DisplayArrayInTable(Fertiliser_SourceData.Fertiliser_Products_Data4(),FertiliserProducts[[#Headers],[Company]], 91)</f>
        <v>0.17599999999999999</v>
      </c>
      <c r="S208" s="192" t="str" cm="1">
        <f t="array" ref="S208">Common_InputFunctions.Utility_DisplayArrayInTable(Fertiliser_SourceData.Fertiliser_Products_Data4(),FertiliserProducts[[#Headers],[Company]], 91)</f>
        <v>Sulfur - Generic</v>
      </c>
      <c r="T208" s="192" cm="1">
        <f t="array" ref="T208">Common_InputFunctions.Utility_DisplayArrayInTable(Fertiliser_SourceData.Fertiliser_Products_Data4(),FertiliserProducts[[#Headers],[Company]], 91)</f>
        <v>5.8999999999999997E-2</v>
      </c>
      <c r="U208" s="192" t="str" cm="1">
        <f t="array" ref="U208">Common_InputFunctions.Utility_DisplayArrayInTable(Fertiliser_SourceData.Fertiliser_Products_Data4(),FertiliserProducts[[#Headers],[Company]], 91)</f>
        <v>Zinc</v>
      </c>
      <c r="V208" s="192" cm="1">
        <f t="array" ref="V208">Common_InputFunctions.Utility_DisplayArrayInTable(Fertiliser_SourceData.Fertiliser_Products_Data4(),FertiliserProducts[[#Headers],[Company]], 91)</f>
        <v>8.0000000000000002E-3</v>
      </c>
      <c r="W208" s="192" t="str" cm="1">
        <f t="array" ref="W208">Common_InputFunctions.Utility_DisplayArrayInTable(Fertiliser_SourceData.Fertiliser_Products_Data4(),FertiliserProducts[[#Headers],[Company]], 91)</f>
        <v/>
      </c>
      <c r="X208" s="192" t="str" cm="1">
        <f t="array" ref="X208">Common_InputFunctions.Utility_DisplayArrayInTable(Fertiliser_SourceData.Fertiliser_Products_Data4(),FertiliserProducts[[#Headers],[Company]], 91)</f>
        <v/>
      </c>
      <c r="Y208" s="192" t="str" cm="1">
        <f t="array" ref="Y208">Common_InputFunctions.Utility_DisplayArrayInTable(Fertiliser_SourceData.Fertiliser_Products_Data4(),FertiliserProducts[[#Headers],[Company]], 91)</f>
        <v/>
      </c>
      <c r="Z208" s="192" t="str" cm="1">
        <f t="array" ref="Z208">Common_InputFunctions.Utility_DisplayArrayInTable(Fertiliser_SourceData.Fertiliser_Products_Data4(),FertiliserProducts[[#Headers],[Company]], 91)</f>
        <v/>
      </c>
      <c r="AA208" s="192" t="str" cm="1">
        <f t="array" ref="AA208">Common_InputFunctions.Utility_DisplayArrayInTable(Fertiliser_SourceData.Fertiliser_Products_Data4(),FertiliserProducts[[#Headers],[Company]], 91)</f>
        <v/>
      </c>
      <c r="AB208" s="192" t="str" cm="1">
        <f t="array" ref="AB208">Common_InputFunctions.Utility_DisplayArrayInTable(Fertiliser_SourceData.Fertiliser_Products_Data4(),FertiliserProducts[[#Headers],[Company]], 91)</f>
        <v/>
      </c>
      <c r="AC208" s="192" t="str" cm="1">
        <f t="array" ref="AC208">Common_InputFunctions.Utility_DisplayArrayInTable(Fertiliser_SourceData.Fertiliser_Products_Data4(),FertiliserProducts[[#Headers],[Company]], 91)</f>
        <v/>
      </c>
      <c r="AD208" s="192" t="str" cm="1">
        <f t="array" ref="AD208">Common_InputFunctions.Utility_DisplayArrayInTable(Fertiliser_SourceData.Fertiliser_Products_Data4(),FertiliserProducts[[#Headers],[Company]], 91)</f>
        <v/>
      </c>
      <c r="AE208" s="192" t="str" cm="1">
        <f t="array" ref="AE208">Common_InputFunctions.Utility_DisplayArrayInTable(Fertiliser_SourceData.Fertiliser_Products_Data4(),FertiliserProducts[[#Headers],[Company]], 91)</f>
        <v/>
      </c>
      <c r="AF208" s="192" t="str" cm="1">
        <f t="array" ref="AF208">Common_InputFunctions.Utility_DisplayArrayInTable(Fertiliser_SourceData.Fertiliser_Products_Data4(),FertiliserProducts[[#Headers],[Company]], 91)</f>
        <v/>
      </c>
      <c r="AG208" s="192" t="str" cm="1">
        <f t="array" ref="AG208">Common_InputFunctions.Utility_DisplayArrayInTable(Fertiliser_SourceData.Fertiliser_Products_Data4(),FertiliserProducts[[#Headers],[Company]], 91)</f>
        <v/>
      </c>
      <c r="AH208" s="192" t="str" cm="1">
        <f t="array" ref="AH208">Common_InputFunctions.Utility_DisplayArrayInTable(Fertiliser_SourceData.Fertiliser_Products_Data4(),FertiliserProducts[[#Headers],[Company]], 91)</f>
        <v/>
      </c>
    </row>
    <row r="209" spans="4:34" x14ac:dyDescent="0.25">
      <c r="D209" s="192" t="str" cm="1">
        <f t="array" ref="D209">Common_InputFunctions.Utility_DisplayArrayInTable(Fertiliser_SourceData.Fertiliser_Products_Data4(),FertiliserProducts[[#Headers],[Company]], 91)</f>
        <v>Wengfu Australia</v>
      </c>
      <c r="E209" s="192" t="str" cm="1">
        <f t="array" ref="E209">Common_InputFunctions.Utility_DisplayArrayInTable(Fertiliser_SourceData.Fertiliser_Products_Data4(),FertiliserProducts[[#Headers],[Company]], 91)</f>
        <v>Wengfu 14-13-0-11 PrimeZinc</v>
      </c>
      <c r="F209" s="192" t="str" cm="1">
        <f t="array" ref="F209">Common_InputFunctions.Utility_DisplayArrayInTable(Fertiliser_SourceData.Fertiliser_Products_Data4(),FertiliserProducts[[#Headers],[Company]], 91)</f>
        <v>kg</v>
      </c>
      <c r="G209" s="192" cm="1">
        <f t="array" ref="G209">Common_InputFunctions.Utility_DisplayArrayInTable(Fertiliser_SourceData.Fertiliser_Products_Data4(),FertiliserProducts[[#Headers],[Company]], 91)</f>
        <v>1</v>
      </c>
      <c r="H209" s="192" t="str" cm="1">
        <f t="array" ref="H209">Common_InputFunctions.Utility_DisplayArrayInTable(Fertiliser_SourceData.Fertiliser_Products_Data4(),FertiliserProducts[[#Headers],[Company]], 91)</f>
        <v/>
      </c>
      <c r="I209" s="192" t="str" cm="1">
        <f t="array" ref="I209">Common_InputFunctions.Utility_DisplayArrayInTable(Fertiliser_SourceData.Fertiliser_Products_Data4(),FertiliserProducts[[#Headers],[Company]], 91)</f>
        <v/>
      </c>
      <c r="J209" s="192" t="str" cm="1">
        <f t="array" ref="J209">Common_InputFunctions.Utility_DisplayArrayInTable(Fertiliser_SourceData.Fertiliser_Products_Data4(),FertiliserProducts[[#Headers],[Company]], 91)</f>
        <v/>
      </c>
      <c r="K209" s="192" cm="1">
        <f t="array" ref="K209">Common_InputFunctions.Utility_DisplayArrayInTable(Fertiliser_SourceData.Fertiliser_Products_Data4(),FertiliserProducts[[#Headers],[Company]], 91)</f>
        <v>14.1</v>
      </c>
      <c r="L209" s="192" cm="1">
        <f t="array" ref="L209">Common_InputFunctions.Utility_DisplayArrayInTable(Fertiliser_SourceData.Fertiliser_Products_Data4(),FertiliserProducts[[#Headers],[Company]], 91)</f>
        <v>12.8</v>
      </c>
      <c r="M209" s="192" cm="1">
        <f t="array" ref="M209">Common_InputFunctions.Utility_DisplayArrayInTable(Fertiliser_SourceData.Fertiliser_Products_Data4(),FertiliserProducts[[#Headers],[Company]], 91)</f>
        <v>0</v>
      </c>
      <c r="N209" s="192" cm="1">
        <f t="array" ref="N209">Common_InputFunctions.Utility_DisplayArrayInTable(Fertiliser_SourceData.Fertiliser_Products_Data4(),FertiliserProducts[[#Headers],[Company]], 91)</f>
        <v>10.7</v>
      </c>
      <c r="O209" s="192" t="str" cm="1">
        <f t="array" ref="O209">Common_InputFunctions.Utility_DisplayArrayInTable(Fertiliser_SourceData.Fertiliser_Products_Data4(),FertiliserProducts[[#Headers],[Company]], 91)</f>
        <v>Nitrogen - Generic</v>
      </c>
      <c r="P209" s="192" cm="1">
        <f t="array" ref="P209">Common_InputFunctions.Utility_DisplayArrayInTable(Fertiliser_SourceData.Fertiliser_Products_Data4(),FertiliserProducts[[#Headers],[Company]], 91)</f>
        <v>0.14099999999999999</v>
      </c>
      <c r="Q209" s="192" t="str" cm="1">
        <f t="array" ref="Q209">Common_InputFunctions.Utility_DisplayArrayInTable(Fertiliser_SourceData.Fertiliser_Products_Data4(),FertiliserProducts[[#Headers],[Company]], 91)</f>
        <v>Phosphorus - Generic</v>
      </c>
      <c r="R209" s="192" cm="1">
        <f t="array" ref="R209">Common_InputFunctions.Utility_DisplayArrayInTable(Fertiliser_SourceData.Fertiliser_Products_Data4(),FertiliserProducts[[#Headers],[Company]], 91)</f>
        <v>0.128</v>
      </c>
      <c r="S209" s="192" t="str" cm="1">
        <f t="array" ref="S209">Common_InputFunctions.Utility_DisplayArrayInTable(Fertiliser_SourceData.Fertiliser_Products_Data4(),FertiliserProducts[[#Headers],[Company]], 91)</f>
        <v>Sulfur - Generic</v>
      </c>
      <c r="T209" s="192" cm="1">
        <f t="array" ref="T209">Common_InputFunctions.Utility_DisplayArrayInTable(Fertiliser_SourceData.Fertiliser_Products_Data4(),FertiliserProducts[[#Headers],[Company]], 91)</f>
        <v>0.107</v>
      </c>
      <c r="U209" s="192" t="str" cm="1">
        <f t="array" ref="U209">Common_InputFunctions.Utility_DisplayArrayInTable(Fertiliser_SourceData.Fertiliser_Products_Data4(),FertiliserProducts[[#Headers],[Company]], 91)</f>
        <v>Zinc</v>
      </c>
      <c r="V209" s="192" cm="1">
        <f t="array" ref="V209">Common_InputFunctions.Utility_DisplayArrayInTable(Fertiliser_SourceData.Fertiliser_Products_Data4(),FertiliserProducts[[#Headers],[Company]], 91)</f>
        <v>6.0000000000000001E-3</v>
      </c>
      <c r="W209" s="192" t="str" cm="1">
        <f t="array" ref="W209">Common_InputFunctions.Utility_DisplayArrayInTable(Fertiliser_SourceData.Fertiliser_Products_Data4(),FertiliserProducts[[#Headers],[Company]], 91)</f>
        <v/>
      </c>
      <c r="X209" s="192" t="str" cm="1">
        <f t="array" ref="X209">Common_InputFunctions.Utility_DisplayArrayInTable(Fertiliser_SourceData.Fertiliser_Products_Data4(),FertiliserProducts[[#Headers],[Company]], 91)</f>
        <v/>
      </c>
      <c r="Y209" s="192" t="str" cm="1">
        <f t="array" ref="Y209">Common_InputFunctions.Utility_DisplayArrayInTable(Fertiliser_SourceData.Fertiliser_Products_Data4(),FertiliserProducts[[#Headers],[Company]], 91)</f>
        <v/>
      </c>
      <c r="Z209" s="192" t="str" cm="1">
        <f t="array" ref="Z209">Common_InputFunctions.Utility_DisplayArrayInTable(Fertiliser_SourceData.Fertiliser_Products_Data4(),FertiliserProducts[[#Headers],[Company]], 91)</f>
        <v/>
      </c>
      <c r="AA209" s="192" t="str" cm="1">
        <f t="array" ref="AA209">Common_InputFunctions.Utility_DisplayArrayInTable(Fertiliser_SourceData.Fertiliser_Products_Data4(),FertiliserProducts[[#Headers],[Company]], 91)</f>
        <v/>
      </c>
      <c r="AB209" s="192" t="str" cm="1">
        <f t="array" ref="AB209">Common_InputFunctions.Utility_DisplayArrayInTable(Fertiliser_SourceData.Fertiliser_Products_Data4(),FertiliserProducts[[#Headers],[Company]], 91)</f>
        <v/>
      </c>
      <c r="AC209" s="192" t="str" cm="1">
        <f t="array" ref="AC209">Common_InputFunctions.Utility_DisplayArrayInTable(Fertiliser_SourceData.Fertiliser_Products_Data4(),FertiliserProducts[[#Headers],[Company]], 91)</f>
        <v/>
      </c>
      <c r="AD209" s="192" t="str" cm="1">
        <f t="array" ref="AD209">Common_InputFunctions.Utility_DisplayArrayInTable(Fertiliser_SourceData.Fertiliser_Products_Data4(),FertiliserProducts[[#Headers],[Company]], 91)</f>
        <v/>
      </c>
      <c r="AE209" s="192" t="str" cm="1">
        <f t="array" ref="AE209">Common_InputFunctions.Utility_DisplayArrayInTable(Fertiliser_SourceData.Fertiliser_Products_Data4(),FertiliserProducts[[#Headers],[Company]], 91)</f>
        <v/>
      </c>
      <c r="AF209" s="192" t="str" cm="1">
        <f t="array" ref="AF209">Common_InputFunctions.Utility_DisplayArrayInTable(Fertiliser_SourceData.Fertiliser_Products_Data4(),FertiliserProducts[[#Headers],[Company]], 91)</f>
        <v/>
      </c>
      <c r="AG209" s="192" t="str" cm="1">
        <f t="array" ref="AG209">Common_InputFunctions.Utility_DisplayArrayInTable(Fertiliser_SourceData.Fertiliser_Products_Data4(),FertiliserProducts[[#Headers],[Company]], 91)</f>
        <v/>
      </c>
      <c r="AH209" s="192" t="str" cm="1">
        <f t="array" ref="AH209">Common_InputFunctions.Utility_DisplayArrayInTable(Fertiliser_SourceData.Fertiliser_Products_Data4(),FertiliserProducts[[#Headers],[Company]], 91)</f>
        <v/>
      </c>
    </row>
    <row r="210" spans="4:34" x14ac:dyDescent="0.25">
      <c r="D210" s="192" t="str" cm="1">
        <f t="array" ref="D210">Common_InputFunctions.Utility_DisplayArrayInTable(Fertiliser_SourceData.Fertiliser_Products_Data5(),FertiliserProducts[[#Headers],[Company]], 121)</f>
        <v>Wengfu Australia</v>
      </c>
      <c r="E210" s="192" t="str" cm="1">
        <f t="array" ref="E210">Common_InputFunctions.Utility_DisplayArrayInTable(Fertiliser_SourceData.Fertiliser_Products_Data5(),FertiliserProducts[[#Headers],[Company]], 121)</f>
        <v>Wengfu 19-13-0-7 PrimeZinc</v>
      </c>
      <c r="F210" s="192" t="str" cm="1">
        <f t="array" ref="F210">Common_InputFunctions.Utility_DisplayArrayInTable(Fertiliser_SourceData.Fertiliser_Products_Data5(),FertiliserProducts[[#Headers],[Company]], 121)</f>
        <v>kg</v>
      </c>
      <c r="G210" s="192" cm="1">
        <f t="array" ref="G210">Common_InputFunctions.Utility_DisplayArrayInTable(Fertiliser_SourceData.Fertiliser_Products_Data5(),FertiliserProducts[[#Headers],[Company]], 121)</f>
        <v>1</v>
      </c>
      <c r="H210" s="192" t="str" cm="1">
        <f t="array" ref="H210">Common_InputFunctions.Utility_DisplayArrayInTable(Fertiliser_SourceData.Fertiliser_Products_Data5(),FertiliserProducts[[#Headers],[Company]], 121)</f>
        <v/>
      </c>
      <c r="I210" s="192" t="str" cm="1">
        <f t="array" ref="I210">Common_InputFunctions.Utility_DisplayArrayInTable(Fertiliser_SourceData.Fertiliser_Products_Data5(),FertiliserProducts[[#Headers],[Company]], 121)</f>
        <v/>
      </c>
      <c r="J210" s="192" t="str" cm="1">
        <f t="array" ref="J210">Common_InputFunctions.Utility_DisplayArrayInTable(Fertiliser_SourceData.Fertiliser_Products_Data5(),FertiliserProducts[[#Headers],[Company]], 121)</f>
        <v/>
      </c>
      <c r="K210" s="192" cm="1">
        <f t="array" ref="K210">Common_InputFunctions.Utility_DisplayArrayInTable(Fertiliser_SourceData.Fertiliser_Products_Data5(),FertiliserProducts[[#Headers],[Company]], 121)</f>
        <v>18.600000000000001</v>
      </c>
      <c r="L210" s="192" cm="1">
        <f t="array" ref="L210">Common_InputFunctions.Utility_DisplayArrayInTable(Fertiliser_SourceData.Fertiliser_Products_Data5(),FertiliserProducts[[#Headers],[Company]], 121)</f>
        <v>12.7</v>
      </c>
      <c r="M210" s="192" cm="1">
        <f t="array" ref="M210">Common_InputFunctions.Utility_DisplayArrayInTable(Fertiliser_SourceData.Fertiliser_Products_Data5(),FertiliserProducts[[#Headers],[Company]], 121)</f>
        <v>0</v>
      </c>
      <c r="N210" s="192" cm="1">
        <f t="array" ref="N210">Common_InputFunctions.Utility_DisplayArrayInTable(Fertiliser_SourceData.Fertiliser_Products_Data5(),FertiliserProducts[[#Headers],[Company]], 121)</f>
        <v>6.8</v>
      </c>
      <c r="O210" s="192" t="str" cm="1">
        <f t="array" ref="O210">Common_InputFunctions.Utility_DisplayArrayInTable(Fertiliser_SourceData.Fertiliser_Products_Data5(),FertiliserProducts[[#Headers],[Company]], 121)</f>
        <v>Nitrogen - Generic</v>
      </c>
      <c r="P210" s="192" cm="1">
        <f t="array" ref="P210">Common_InputFunctions.Utility_DisplayArrayInTable(Fertiliser_SourceData.Fertiliser_Products_Data5(),FertiliserProducts[[#Headers],[Company]], 121)</f>
        <v>0.186</v>
      </c>
      <c r="Q210" s="192" t="str" cm="1">
        <f t="array" ref="Q210">Common_InputFunctions.Utility_DisplayArrayInTable(Fertiliser_SourceData.Fertiliser_Products_Data5(),FertiliserProducts[[#Headers],[Company]], 121)</f>
        <v>Phosphorus - Generic</v>
      </c>
      <c r="R210" s="192" cm="1">
        <f t="array" ref="R210">Common_InputFunctions.Utility_DisplayArrayInTable(Fertiliser_SourceData.Fertiliser_Products_Data5(),FertiliserProducts[[#Headers],[Company]], 121)</f>
        <v>0.127</v>
      </c>
      <c r="S210" s="192" t="str" cm="1">
        <f t="array" ref="S210">Common_InputFunctions.Utility_DisplayArrayInTable(Fertiliser_SourceData.Fertiliser_Products_Data5(),FertiliserProducts[[#Headers],[Company]], 121)</f>
        <v>Sulfur - Generic</v>
      </c>
      <c r="T210" s="192" cm="1">
        <f t="array" ref="T210">Common_InputFunctions.Utility_DisplayArrayInTable(Fertiliser_SourceData.Fertiliser_Products_Data5(),FertiliserProducts[[#Headers],[Company]], 121)</f>
        <v>6.8000000000000005E-2</v>
      </c>
      <c r="U210" s="192" t="str" cm="1">
        <f t="array" ref="U210">Common_InputFunctions.Utility_DisplayArrayInTable(Fertiliser_SourceData.Fertiliser_Products_Data5(),FertiliserProducts[[#Headers],[Company]], 121)</f>
        <v>Zinc</v>
      </c>
      <c r="V210" s="192" cm="1">
        <f t="array" ref="V210">Common_InputFunctions.Utility_DisplayArrayInTable(Fertiliser_SourceData.Fertiliser_Products_Data5(),FertiliserProducts[[#Headers],[Company]], 121)</f>
        <v>6.0000000000000001E-3</v>
      </c>
      <c r="W210" s="192" t="str" cm="1">
        <f t="array" ref="W210">Common_InputFunctions.Utility_DisplayArrayInTable(Fertiliser_SourceData.Fertiliser_Products_Data5(),FertiliserProducts[[#Headers],[Company]], 121)</f>
        <v/>
      </c>
      <c r="X210" s="192" t="str" cm="1">
        <f t="array" ref="X210">Common_InputFunctions.Utility_DisplayArrayInTable(Fertiliser_SourceData.Fertiliser_Products_Data5(),FertiliserProducts[[#Headers],[Company]], 121)</f>
        <v/>
      </c>
      <c r="Y210" s="192" t="str" cm="1">
        <f t="array" ref="Y210">Common_InputFunctions.Utility_DisplayArrayInTable(Fertiliser_SourceData.Fertiliser_Products_Data5(),FertiliserProducts[[#Headers],[Company]], 121)</f>
        <v/>
      </c>
      <c r="Z210" s="192" t="str" cm="1">
        <f t="array" ref="Z210">Common_InputFunctions.Utility_DisplayArrayInTable(Fertiliser_SourceData.Fertiliser_Products_Data5(),FertiliserProducts[[#Headers],[Company]], 121)</f>
        <v/>
      </c>
      <c r="AA210" s="192" t="str" cm="1">
        <f t="array" ref="AA210">Common_InputFunctions.Utility_DisplayArrayInTable(Fertiliser_SourceData.Fertiliser_Products_Data5(),FertiliserProducts[[#Headers],[Company]], 121)</f>
        <v/>
      </c>
      <c r="AB210" s="192" t="str" cm="1">
        <f t="array" ref="AB210">Common_InputFunctions.Utility_DisplayArrayInTable(Fertiliser_SourceData.Fertiliser_Products_Data5(),FertiliserProducts[[#Headers],[Company]], 121)</f>
        <v/>
      </c>
      <c r="AC210" s="192" t="str" cm="1">
        <f t="array" ref="AC210">Common_InputFunctions.Utility_DisplayArrayInTable(Fertiliser_SourceData.Fertiliser_Products_Data5(),FertiliserProducts[[#Headers],[Company]], 121)</f>
        <v/>
      </c>
      <c r="AD210" s="192" t="str" cm="1">
        <f t="array" ref="AD210">Common_InputFunctions.Utility_DisplayArrayInTable(Fertiliser_SourceData.Fertiliser_Products_Data5(),FertiliserProducts[[#Headers],[Company]], 121)</f>
        <v/>
      </c>
      <c r="AE210" s="192" t="str" cm="1">
        <f t="array" ref="AE210">Common_InputFunctions.Utility_DisplayArrayInTable(Fertiliser_SourceData.Fertiliser_Products_Data5(),FertiliserProducts[[#Headers],[Company]], 121)</f>
        <v/>
      </c>
      <c r="AF210" s="192" t="str" cm="1">
        <f t="array" ref="AF210">Common_InputFunctions.Utility_DisplayArrayInTable(Fertiliser_SourceData.Fertiliser_Products_Data5(),FertiliserProducts[[#Headers],[Company]], 121)</f>
        <v/>
      </c>
      <c r="AG210" s="192" t="str" cm="1">
        <f t="array" ref="AG210">Common_InputFunctions.Utility_DisplayArrayInTable(Fertiliser_SourceData.Fertiliser_Products_Data5(),FertiliserProducts[[#Headers],[Company]], 121)</f>
        <v/>
      </c>
      <c r="AH210" s="192" t="str" cm="1">
        <f t="array" ref="AH210">Common_InputFunctions.Utility_DisplayArrayInTable(Fertiliser_SourceData.Fertiliser_Products_Data5(),FertiliserProducts[[#Headers],[Company]], 121)</f>
        <v/>
      </c>
    </row>
    <row r="211" spans="4:34" x14ac:dyDescent="0.25">
      <c r="D211" s="192" t="str" cm="1">
        <f t="array" ref="D211">Common_InputFunctions.Utility_DisplayArrayInTable(Fertiliser_SourceData.Fertiliser_Products_Data5(),FertiliserProducts[[#Headers],[Company]], 121)</f>
        <v>Wengfu Australia</v>
      </c>
      <c r="E211" s="192" t="str" cm="1">
        <f t="array" ref="E211">Common_InputFunctions.Utility_DisplayArrayInTable(Fertiliser_SourceData.Fertiliser_Products_Data5(),FertiliserProducts[[#Headers],[Company]], 121)</f>
        <v>Wengfu Booster K</v>
      </c>
      <c r="F211" s="192" t="str" cm="1">
        <f t="array" ref="F211">Common_InputFunctions.Utility_DisplayArrayInTable(Fertiliser_SourceData.Fertiliser_Products_Data5(),FertiliserProducts[[#Headers],[Company]], 121)</f>
        <v>kg</v>
      </c>
      <c r="G211" s="192" cm="1">
        <f t="array" ref="G211">Common_InputFunctions.Utility_DisplayArrayInTable(Fertiliser_SourceData.Fertiliser_Products_Data5(),FertiliserProducts[[#Headers],[Company]], 121)</f>
        <v>1</v>
      </c>
      <c r="H211" s="192" t="str" cm="1">
        <f t="array" ref="H211">Common_InputFunctions.Utility_DisplayArrayInTable(Fertiliser_SourceData.Fertiliser_Products_Data5(),FertiliserProducts[[#Headers],[Company]], 121)</f>
        <v/>
      </c>
      <c r="I211" s="192" t="str" cm="1">
        <f t="array" ref="I211">Common_InputFunctions.Utility_DisplayArrayInTable(Fertiliser_SourceData.Fertiliser_Products_Data5(),FertiliserProducts[[#Headers],[Company]], 121)</f>
        <v/>
      </c>
      <c r="J211" s="192" t="str" cm="1">
        <f t="array" ref="J211">Common_InputFunctions.Utility_DisplayArrayInTable(Fertiliser_SourceData.Fertiliser_Products_Data5(),FertiliserProducts[[#Headers],[Company]], 121)</f>
        <v/>
      </c>
      <c r="K211" s="192" cm="1">
        <f t="array" ref="K211">Common_InputFunctions.Utility_DisplayArrayInTable(Fertiliser_SourceData.Fertiliser_Products_Data5(),FertiliserProducts[[#Headers],[Company]], 121)</f>
        <v>32</v>
      </c>
      <c r="L211" s="192" cm="1">
        <f t="array" ref="L211">Common_InputFunctions.Utility_DisplayArrayInTable(Fertiliser_SourceData.Fertiliser_Products_Data5(),FertiliserProducts[[#Headers],[Company]], 121)</f>
        <v>0</v>
      </c>
      <c r="M211" s="192" cm="1">
        <f t="array" ref="M211">Common_InputFunctions.Utility_DisplayArrayInTable(Fertiliser_SourceData.Fertiliser_Products_Data5(),FertiliserProducts[[#Headers],[Company]], 121)</f>
        <v>11</v>
      </c>
      <c r="N211" s="192" cm="1">
        <f t="array" ref="N211">Common_InputFunctions.Utility_DisplayArrayInTable(Fertiliser_SourceData.Fertiliser_Products_Data5(),FertiliserProducts[[#Headers],[Company]], 121)</f>
        <v>3</v>
      </c>
      <c r="O211" s="192" t="str" cm="1">
        <f t="array" ref="O211">Common_InputFunctions.Utility_DisplayArrayInTable(Fertiliser_SourceData.Fertiliser_Products_Data5(),FertiliserProducts[[#Headers],[Company]], 121)</f>
        <v>Nitrogen - Generic</v>
      </c>
      <c r="P211" s="192" cm="1">
        <f t="array" ref="P211">Common_InputFunctions.Utility_DisplayArrayInTable(Fertiliser_SourceData.Fertiliser_Products_Data5(),FertiliserProducts[[#Headers],[Company]], 121)</f>
        <v>0.32</v>
      </c>
      <c r="Q211" s="192" t="str" cm="1">
        <f t="array" ref="Q211">Common_InputFunctions.Utility_DisplayArrayInTable(Fertiliser_SourceData.Fertiliser_Products_Data5(),FertiliserProducts[[#Headers],[Company]], 121)</f>
        <v>Potassium - Generic</v>
      </c>
      <c r="R211" s="192" cm="1">
        <f t="array" ref="R211">Common_InputFunctions.Utility_DisplayArrayInTable(Fertiliser_SourceData.Fertiliser_Products_Data5(),FertiliserProducts[[#Headers],[Company]], 121)</f>
        <v>0.11</v>
      </c>
      <c r="S211" s="192" t="str" cm="1">
        <f t="array" ref="S211">Common_InputFunctions.Utility_DisplayArrayInTable(Fertiliser_SourceData.Fertiliser_Products_Data5(),FertiliserProducts[[#Headers],[Company]], 121)</f>
        <v>Sulfur - Generic</v>
      </c>
      <c r="T211" s="192" cm="1">
        <f t="array" ref="T211">Common_InputFunctions.Utility_DisplayArrayInTable(Fertiliser_SourceData.Fertiliser_Products_Data5(),FertiliserProducts[[#Headers],[Company]], 121)</f>
        <v>0.03</v>
      </c>
      <c r="U211" s="192" t="str" cm="1">
        <f t="array" ref="U211">Common_InputFunctions.Utility_DisplayArrayInTable(Fertiliser_SourceData.Fertiliser_Products_Data5(),FertiliserProducts[[#Headers],[Company]], 121)</f>
        <v/>
      </c>
      <c r="V211" s="192" t="str" cm="1">
        <f t="array" ref="V211">Common_InputFunctions.Utility_DisplayArrayInTable(Fertiliser_SourceData.Fertiliser_Products_Data5(),FertiliserProducts[[#Headers],[Company]], 121)</f>
        <v/>
      </c>
      <c r="W211" s="192" t="str" cm="1">
        <f t="array" ref="W211">Common_InputFunctions.Utility_DisplayArrayInTable(Fertiliser_SourceData.Fertiliser_Products_Data5(),FertiliserProducts[[#Headers],[Company]], 121)</f>
        <v/>
      </c>
      <c r="X211" s="192" t="str" cm="1">
        <f t="array" ref="X211">Common_InputFunctions.Utility_DisplayArrayInTable(Fertiliser_SourceData.Fertiliser_Products_Data5(),FertiliserProducts[[#Headers],[Company]], 121)</f>
        <v/>
      </c>
      <c r="Y211" s="192" t="str" cm="1">
        <f t="array" ref="Y211">Common_InputFunctions.Utility_DisplayArrayInTable(Fertiliser_SourceData.Fertiliser_Products_Data5(),FertiliserProducts[[#Headers],[Company]], 121)</f>
        <v/>
      </c>
      <c r="Z211" s="192" t="str" cm="1">
        <f t="array" ref="Z211">Common_InputFunctions.Utility_DisplayArrayInTable(Fertiliser_SourceData.Fertiliser_Products_Data5(),FertiliserProducts[[#Headers],[Company]], 121)</f>
        <v/>
      </c>
      <c r="AA211" s="192" t="str" cm="1">
        <f t="array" ref="AA211">Common_InputFunctions.Utility_DisplayArrayInTable(Fertiliser_SourceData.Fertiliser_Products_Data5(),FertiliserProducts[[#Headers],[Company]], 121)</f>
        <v/>
      </c>
      <c r="AB211" s="192" t="str" cm="1">
        <f t="array" ref="AB211">Common_InputFunctions.Utility_DisplayArrayInTable(Fertiliser_SourceData.Fertiliser_Products_Data5(),FertiliserProducts[[#Headers],[Company]], 121)</f>
        <v/>
      </c>
      <c r="AC211" s="192" t="str" cm="1">
        <f t="array" ref="AC211">Common_InputFunctions.Utility_DisplayArrayInTable(Fertiliser_SourceData.Fertiliser_Products_Data5(),FertiliserProducts[[#Headers],[Company]], 121)</f>
        <v/>
      </c>
      <c r="AD211" s="192" t="str" cm="1">
        <f t="array" ref="AD211">Common_InputFunctions.Utility_DisplayArrayInTable(Fertiliser_SourceData.Fertiliser_Products_Data5(),FertiliserProducts[[#Headers],[Company]], 121)</f>
        <v/>
      </c>
      <c r="AE211" s="192" t="str" cm="1">
        <f t="array" ref="AE211">Common_InputFunctions.Utility_DisplayArrayInTable(Fertiliser_SourceData.Fertiliser_Products_Data5(),FertiliserProducts[[#Headers],[Company]], 121)</f>
        <v/>
      </c>
      <c r="AF211" s="192" t="str" cm="1">
        <f t="array" ref="AF211">Common_InputFunctions.Utility_DisplayArrayInTable(Fertiliser_SourceData.Fertiliser_Products_Data5(),FertiliserProducts[[#Headers],[Company]], 121)</f>
        <v/>
      </c>
      <c r="AG211" s="192" t="str" cm="1">
        <f t="array" ref="AG211">Common_InputFunctions.Utility_DisplayArrayInTable(Fertiliser_SourceData.Fertiliser_Products_Data5(),FertiliserProducts[[#Headers],[Company]], 121)</f>
        <v/>
      </c>
      <c r="AH211" s="192" t="str" cm="1">
        <f t="array" ref="AH211">Common_InputFunctions.Utility_DisplayArrayInTable(Fertiliser_SourceData.Fertiliser_Products_Data5(),FertiliserProducts[[#Headers],[Company]], 121)</f>
        <v/>
      </c>
    </row>
    <row r="212" spans="4:34" x14ac:dyDescent="0.25">
      <c r="D212" s="192" t="str" cm="1">
        <f t="array" ref="D212">Common_InputFunctions.Utility_DisplayArrayInTable(Fertiliser_SourceData.Fertiliser_Products_Data5(),FertiliserProducts[[#Headers],[Company]], 121)</f>
        <v>Wengfu Australia</v>
      </c>
      <c r="E212" s="192" t="str" cm="1">
        <f t="array" ref="E212">Common_InputFunctions.Utility_DisplayArrayInTable(Fertiliser_SourceData.Fertiliser_Products_Data5(),FertiliserProducts[[#Headers],[Company]], 121)</f>
        <v>Wengfu Booster Rich 1</v>
      </c>
      <c r="F212" s="192" t="str" cm="1">
        <f t="array" ref="F212">Common_InputFunctions.Utility_DisplayArrayInTable(Fertiliser_SourceData.Fertiliser_Products_Data5(),FertiliserProducts[[#Headers],[Company]], 121)</f>
        <v>kg</v>
      </c>
      <c r="G212" s="192" cm="1">
        <f t="array" ref="G212">Common_InputFunctions.Utility_DisplayArrayInTable(Fertiliser_SourceData.Fertiliser_Products_Data5(),FertiliserProducts[[#Headers],[Company]], 121)</f>
        <v>1</v>
      </c>
      <c r="H212" s="192" t="str" cm="1">
        <f t="array" ref="H212">Common_InputFunctions.Utility_DisplayArrayInTable(Fertiliser_SourceData.Fertiliser_Products_Data5(),FertiliserProducts[[#Headers],[Company]], 121)</f>
        <v/>
      </c>
      <c r="I212" s="192" t="str" cm="1">
        <f t="array" ref="I212">Common_InputFunctions.Utility_DisplayArrayInTable(Fertiliser_SourceData.Fertiliser_Products_Data5(),FertiliserProducts[[#Headers],[Company]], 121)</f>
        <v/>
      </c>
      <c r="J212" s="192" t="str" cm="1">
        <f t="array" ref="J212">Common_InputFunctions.Utility_DisplayArrayInTable(Fertiliser_SourceData.Fertiliser_Products_Data5(),FertiliserProducts[[#Headers],[Company]], 121)</f>
        <v/>
      </c>
      <c r="K212" s="192" cm="1">
        <f t="array" ref="K212">Common_InputFunctions.Utility_DisplayArrayInTable(Fertiliser_SourceData.Fertiliser_Products_Data5(),FertiliserProducts[[#Headers],[Company]], 121)</f>
        <v>31</v>
      </c>
      <c r="L212" s="192" cm="1">
        <f t="array" ref="L212">Common_InputFunctions.Utility_DisplayArrayInTable(Fertiliser_SourceData.Fertiliser_Products_Data5(),FertiliserProducts[[#Headers],[Company]], 121)</f>
        <v>6</v>
      </c>
      <c r="M212" s="192" cm="1">
        <f t="array" ref="M212">Common_InputFunctions.Utility_DisplayArrayInTable(Fertiliser_SourceData.Fertiliser_Products_Data5(),FertiliserProducts[[#Headers],[Company]], 121)</f>
        <v>0</v>
      </c>
      <c r="N212" s="192" cm="1">
        <f t="array" ref="N212">Common_InputFunctions.Utility_DisplayArrayInTable(Fertiliser_SourceData.Fertiliser_Products_Data5(),FertiliserProducts[[#Headers],[Company]], 121)</f>
        <v>6</v>
      </c>
      <c r="O212" s="192" t="str" cm="1">
        <f t="array" ref="O212">Common_InputFunctions.Utility_DisplayArrayInTable(Fertiliser_SourceData.Fertiliser_Products_Data5(),FertiliserProducts[[#Headers],[Company]], 121)</f>
        <v>Nitrogen - Generic</v>
      </c>
      <c r="P212" s="192" cm="1">
        <f t="array" ref="P212">Common_InputFunctions.Utility_DisplayArrayInTable(Fertiliser_SourceData.Fertiliser_Products_Data5(),FertiliserProducts[[#Headers],[Company]], 121)</f>
        <v>0.31</v>
      </c>
      <c r="Q212" s="192" t="str" cm="1">
        <f t="array" ref="Q212">Common_InputFunctions.Utility_DisplayArrayInTable(Fertiliser_SourceData.Fertiliser_Products_Data5(),FertiliserProducts[[#Headers],[Company]], 121)</f>
        <v>Phosphorus - Generic</v>
      </c>
      <c r="R212" s="192" cm="1">
        <f t="array" ref="R212">Common_InputFunctions.Utility_DisplayArrayInTable(Fertiliser_SourceData.Fertiliser_Products_Data5(),FertiliserProducts[[#Headers],[Company]], 121)</f>
        <v>0.06</v>
      </c>
      <c r="S212" s="192" t="str" cm="1">
        <f t="array" ref="S212">Common_InputFunctions.Utility_DisplayArrayInTable(Fertiliser_SourceData.Fertiliser_Products_Data5(),FertiliserProducts[[#Headers],[Company]], 121)</f>
        <v>Sulfur - Generic</v>
      </c>
      <c r="T212" s="192" cm="1">
        <f t="array" ref="T212">Common_InputFunctions.Utility_DisplayArrayInTable(Fertiliser_SourceData.Fertiliser_Products_Data5(),FertiliserProducts[[#Headers],[Company]], 121)</f>
        <v>0.06</v>
      </c>
      <c r="U212" s="192" t="str" cm="1">
        <f t="array" ref="U212">Common_InputFunctions.Utility_DisplayArrayInTable(Fertiliser_SourceData.Fertiliser_Products_Data5(),FertiliserProducts[[#Headers],[Company]], 121)</f>
        <v/>
      </c>
      <c r="V212" s="192" t="str" cm="1">
        <f t="array" ref="V212">Common_InputFunctions.Utility_DisplayArrayInTable(Fertiliser_SourceData.Fertiliser_Products_Data5(),FertiliserProducts[[#Headers],[Company]], 121)</f>
        <v/>
      </c>
      <c r="W212" s="192" t="str" cm="1">
        <f t="array" ref="W212">Common_InputFunctions.Utility_DisplayArrayInTable(Fertiliser_SourceData.Fertiliser_Products_Data5(),FertiliserProducts[[#Headers],[Company]], 121)</f>
        <v/>
      </c>
      <c r="X212" s="192" t="str" cm="1">
        <f t="array" ref="X212">Common_InputFunctions.Utility_DisplayArrayInTable(Fertiliser_SourceData.Fertiliser_Products_Data5(),FertiliserProducts[[#Headers],[Company]], 121)</f>
        <v/>
      </c>
      <c r="Y212" s="192" t="str" cm="1">
        <f t="array" ref="Y212">Common_InputFunctions.Utility_DisplayArrayInTable(Fertiliser_SourceData.Fertiliser_Products_Data5(),FertiliserProducts[[#Headers],[Company]], 121)</f>
        <v/>
      </c>
      <c r="Z212" s="192" t="str" cm="1">
        <f t="array" ref="Z212">Common_InputFunctions.Utility_DisplayArrayInTable(Fertiliser_SourceData.Fertiliser_Products_Data5(),FertiliserProducts[[#Headers],[Company]], 121)</f>
        <v/>
      </c>
      <c r="AA212" s="192" t="str" cm="1">
        <f t="array" ref="AA212">Common_InputFunctions.Utility_DisplayArrayInTable(Fertiliser_SourceData.Fertiliser_Products_Data5(),FertiliserProducts[[#Headers],[Company]], 121)</f>
        <v/>
      </c>
      <c r="AB212" s="192" t="str" cm="1">
        <f t="array" ref="AB212">Common_InputFunctions.Utility_DisplayArrayInTable(Fertiliser_SourceData.Fertiliser_Products_Data5(),FertiliserProducts[[#Headers],[Company]], 121)</f>
        <v/>
      </c>
      <c r="AC212" s="192" t="str" cm="1">
        <f t="array" ref="AC212">Common_InputFunctions.Utility_DisplayArrayInTable(Fertiliser_SourceData.Fertiliser_Products_Data5(),FertiliserProducts[[#Headers],[Company]], 121)</f>
        <v/>
      </c>
      <c r="AD212" s="192" t="str" cm="1">
        <f t="array" ref="AD212">Common_InputFunctions.Utility_DisplayArrayInTable(Fertiliser_SourceData.Fertiliser_Products_Data5(),FertiliserProducts[[#Headers],[Company]], 121)</f>
        <v/>
      </c>
      <c r="AE212" s="192" t="str" cm="1">
        <f t="array" ref="AE212">Common_InputFunctions.Utility_DisplayArrayInTable(Fertiliser_SourceData.Fertiliser_Products_Data5(),FertiliserProducts[[#Headers],[Company]], 121)</f>
        <v/>
      </c>
      <c r="AF212" s="192" t="str" cm="1">
        <f t="array" ref="AF212">Common_InputFunctions.Utility_DisplayArrayInTable(Fertiliser_SourceData.Fertiliser_Products_Data5(),FertiliserProducts[[#Headers],[Company]], 121)</f>
        <v/>
      </c>
      <c r="AG212" s="192" t="str" cm="1">
        <f t="array" ref="AG212">Common_InputFunctions.Utility_DisplayArrayInTable(Fertiliser_SourceData.Fertiliser_Products_Data5(),FertiliserProducts[[#Headers],[Company]], 121)</f>
        <v/>
      </c>
      <c r="AH212" s="192" t="str" cm="1">
        <f t="array" ref="AH212">Common_InputFunctions.Utility_DisplayArrayInTable(Fertiliser_SourceData.Fertiliser_Products_Data5(),FertiliserProducts[[#Headers],[Company]], 121)</f>
        <v/>
      </c>
    </row>
    <row r="213" spans="4:34" x14ac:dyDescent="0.25">
      <c r="D213" s="192" t="str" cm="1">
        <f t="array" ref="D213">Common_InputFunctions.Utility_DisplayArrayInTable(Fertiliser_SourceData.Fertiliser_Products_Data5(),FertiliserProducts[[#Headers],[Company]], 121)</f>
        <v>Wengfu Australia</v>
      </c>
      <c r="E213" s="192" t="str" cm="1">
        <f t="array" ref="E213">Common_InputFunctions.Utility_DisplayArrayInTable(Fertiliser_SourceData.Fertiliser_Products_Data5(),FertiliserProducts[[#Headers],[Company]], 121)</f>
        <v>Wengfu Booster Grass DAP</v>
      </c>
      <c r="F213" s="192" t="str" cm="1">
        <f t="array" ref="F213">Common_InputFunctions.Utility_DisplayArrayInTable(Fertiliser_SourceData.Fertiliser_Products_Data5(),FertiliserProducts[[#Headers],[Company]], 121)</f>
        <v>kg</v>
      </c>
      <c r="G213" s="192" cm="1">
        <f t="array" ref="G213">Common_InputFunctions.Utility_DisplayArrayInTable(Fertiliser_SourceData.Fertiliser_Products_Data5(),FertiliserProducts[[#Headers],[Company]], 121)</f>
        <v>1</v>
      </c>
      <c r="H213" s="192" t="str" cm="1">
        <f t="array" ref="H213">Common_InputFunctions.Utility_DisplayArrayInTable(Fertiliser_SourceData.Fertiliser_Products_Data5(),FertiliserProducts[[#Headers],[Company]], 121)</f>
        <v/>
      </c>
      <c r="I213" s="192" t="str" cm="1">
        <f t="array" ref="I213">Common_InputFunctions.Utility_DisplayArrayInTable(Fertiliser_SourceData.Fertiliser_Products_Data5(),FertiliserProducts[[#Headers],[Company]], 121)</f>
        <v/>
      </c>
      <c r="J213" s="192" t="str" cm="1">
        <f t="array" ref="J213">Common_InputFunctions.Utility_DisplayArrayInTable(Fertiliser_SourceData.Fertiliser_Products_Data5(),FertiliserProducts[[#Headers],[Company]], 121)</f>
        <v/>
      </c>
      <c r="K213" s="192" cm="1">
        <f t="array" ref="K213">Common_InputFunctions.Utility_DisplayArrayInTable(Fertiliser_SourceData.Fertiliser_Products_Data5(),FertiliserProducts[[#Headers],[Company]], 121)</f>
        <v>21</v>
      </c>
      <c r="L213" s="192" cm="1">
        <f t="array" ref="L213">Common_InputFunctions.Utility_DisplayArrayInTable(Fertiliser_SourceData.Fertiliser_Products_Data5(),FertiliserProducts[[#Headers],[Company]], 121)</f>
        <v>4</v>
      </c>
      <c r="M213" s="192" cm="1">
        <f t="array" ref="M213">Common_InputFunctions.Utility_DisplayArrayInTable(Fertiliser_SourceData.Fertiliser_Products_Data5(),FertiliserProducts[[#Headers],[Company]], 121)</f>
        <v>8</v>
      </c>
      <c r="N213" s="192" cm="1">
        <f t="array" ref="N213">Common_InputFunctions.Utility_DisplayArrayInTable(Fertiliser_SourceData.Fertiliser_Products_Data5(),FertiliserProducts[[#Headers],[Company]], 121)</f>
        <v>7</v>
      </c>
      <c r="O213" s="192" t="str" cm="1">
        <f t="array" ref="O213">Common_InputFunctions.Utility_DisplayArrayInTable(Fertiliser_SourceData.Fertiliser_Products_Data5(),FertiliserProducts[[#Headers],[Company]], 121)</f>
        <v>Nitrogen - Generic</v>
      </c>
      <c r="P213" s="192" cm="1">
        <f t="array" ref="P213">Common_InputFunctions.Utility_DisplayArrayInTable(Fertiliser_SourceData.Fertiliser_Products_Data5(),FertiliserProducts[[#Headers],[Company]], 121)</f>
        <v>0.21</v>
      </c>
      <c r="Q213" s="192" t="str" cm="1">
        <f t="array" ref="Q213">Common_InputFunctions.Utility_DisplayArrayInTable(Fertiliser_SourceData.Fertiliser_Products_Data5(),FertiliserProducts[[#Headers],[Company]], 121)</f>
        <v>Phosphorus - Generic</v>
      </c>
      <c r="R213" s="192" cm="1">
        <f t="array" ref="R213">Common_InputFunctions.Utility_DisplayArrayInTable(Fertiliser_SourceData.Fertiliser_Products_Data5(),FertiliserProducts[[#Headers],[Company]], 121)</f>
        <v>0.04</v>
      </c>
      <c r="S213" s="192" t="str" cm="1">
        <f t="array" ref="S213">Common_InputFunctions.Utility_DisplayArrayInTable(Fertiliser_SourceData.Fertiliser_Products_Data5(),FertiliserProducts[[#Headers],[Company]], 121)</f>
        <v>Potassium - Generic</v>
      </c>
      <c r="T213" s="192" cm="1">
        <f t="array" ref="T213">Common_InputFunctions.Utility_DisplayArrayInTable(Fertiliser_SourceData.Fertiliser_Products_Data5(),FertiliserProducts[[#Headers],[Company]], 121)</f>
        <v>0.08</v>
      </c>
      <c r="U213" s="192" t="str" cm="1">
        <f t="array" ref="U213">Common_InputFunctions.Utility_DisplayArrayInTable(Fertiliser_SourceData.Fertiliser_Products_Data5(),FertiliserProducts[[#Headers],[Company]], 121)</f>
        <v>Sulfur - Generic</v>
      </c>
      <c r="V213" s="192" cm="1">
        <f t="array" ref="V213">Common_InputFunctions.Utility_DisplayArrayInTable(Fertiliser_SourceData.Fertiliser_Products_Data5(),FertiliserProducts[[#Headers],[Company]], 121)</f>
        <v>7.0000000000000007E-2</v>
      </c>
      <c r="W213" s="192" t="str" cm="1">
        <f t="array" ref="W213">Common_InputFunctions.Utility_DisplayArrayInTable(Fertiliser_SourceData.Fertiliser_Products_Data5(),FertiliserProducts[[#Headers],[Company]], 121)</f>
        <v/>
      </c>
      <c r="X213" s="192" t="str" cm="1">
        <f t="array" ref="X213">Common_InputFunctions.Utility_DisplayArrayInTable(Fertiliser_SourceData.Fertiliser_Products_Data5(),FertiliserProducts[[#Headers],[Company]], 121)</f>
        <v/>
      </c>
      <c r="Y213" s="192" t="str" cm="1">
        <f t="array" ref="Y213">Common_InputFunctions.Utility_DisplayArrayInTable(Fertiliser_SourceData.Fertiliser_Products_Data5(),FertiliserProducts[[#Headers],[Company]], 121)</f>
        <v/>
      </c>
      <c r="Z213" s="192" t="str" cm="1">
        <f t="array" ref="Z213">Common_InputFunctions.Utility_DisplayArrayInTable(Fertiliser_SourceData.Fertiliser_Products_Data5(),FertiliserProducts[[#Headers],[Company]], 121)</f>
        <v/>
      </c>
      <c r="AA213" s="192" t="str" cm="1">
        <f t="array" ref="AA213">Common_InputFunctions.Utility_DisplayArrayInTable(Fertiliser_SourceData.Fertiliser_Products_Data5(),FertiliserProducts[[#Headers],[Company]], 121)</f>
        <v/>
      </c>
      <c r="AB213" s="192" t="str" cm="1">
        <f t="array" ref="AB213">Common_InputFunctions.Utility_DisplayArrayInTable(Fertiliser_SourceData.Fertiliser_Products_Data5(),FertiliserProducts[[#Headers],[Company]], 121)</f>
        <v/>
      </c>
      <c r="AC213" s="192" t="str" cm="1">
        <f t="array" ref="AC213">Common_InputFunctions.Utility_DisplayArrayInTable(Fertiliser_SourceData.Fertiliser_Products_Data5(),FertiliserProducts[[#Headers],[Company]], 121)</f>
        <v/>
      </c>
      <c r="AD213" s="192" t="str" cm="1">
        <f t="array" ref="AD213">Common_InputFunctions.Utility_DisplayArrayInTable(Fertiliser_SourceData.Fertiliser_Products_Data5(),FertiliserProducts[[#Headers],[Company]], 121)</f>
        <v/>
      </c>
      <c r="AE213" s="192" t="str" cm="1">
        <f t="array" ref="AE213">Common_InputFunctions.Utility_DisplayArrayInTable(Fertiliser_SourceData.Fertiliser_Products_Data5(),FertiliserProducts[[#Headers],[Company]], 121)</f>
        <v/>
      </c>
      <c r="AF213" s="192" t="str" cm="1">
        <f t="array" ref="AF213">Common_InputFunctions.Utility_DisplayArrayInTable(Fertiliser_SourceData.Fertiliser_Products_Data5(),FertiliserProducts[[#Headers],[Company]], 121)</f>
        <v/>
      </c>
      <c r="AG213" s="192" t="str" cm="1">
        <f t="array" ref="AG213">Common_InputFunctions.Utility_DisplayArrayInTable(Fertiliser_SourceData.Fertiliser_Products_Data5(),FertiliserProducts[[#Headers],[Company]], 121)</f>
        <v/>
      </c>
      <c r="AH213" s="192" t="str" cm="1">
        <f t="array" ref="AH213">Common_InputFunctions.Utility_DisplayArrayInTable(Fertiliser_SourceData.Fertiliser_Products_Data5(),FertiliserProducts[[#Headers],[Company]], 121)</f>
        <v/>
      </c>
    </row>
    <row r="214" spans="4:34" x14ac:dyDescent="0.25">
      <c r="D214" s="192" t="str" cm="1">
        <f t="array" ref="D214">Common_InputFunctions.Utility_DisplayArrayInTable(Fertiliser_SourceData.Fertiliser_Products_Data5(),FertiliserProducts[[#Headers],[Company]], 121)</f>
        <v>Wengfu Australia</v>
      </c>
      <c r="E214" s="192" t="str" cm="1">
        <f t="array" ref="E214">Common_InputFunctions.Utility_DisplayArrayInTable(Fertiliser_SourceData.Fertiliser_Products_Data5(),FertiliserProducts[[#Headers],[Company]], 121)</f>
        <v>Wengfu Aftergraze</v>
      </c>
      <c r="F214" s="192" t="str" cm="1">
        <f t="array" ref="F214">Common_InputFunctions.Utility_DisplayArrayInTable(Fertiliser_SourceData.Fertiliser_Products_Data5(),FertiliserProducts[[#Headers],[Company]], 121)</f>
        <v>kg</v>
      </c>
      <c r="G214" s="192" cm="1">
        <f t="array" ref="G214">Common_InputFunctions.Utility_DisplayArrayInTable(Fertiliser_SourceData.Fertiliser_Products_Data5(),FertiliserProducts[[#Headers],[Company]], 121)</f>
        <v>1</v>
      </c>
      <c r="H214" s="192" t="str" cm="1">
        <f t="array" ref="H214">Common_InputFunctions.Utility_DisplayArrayInTable(Fertiliser_SourceData.Fertiliser_Products_Data5(),FertiliserProducts[[#Headers],[Company]], 121)</f>
        <v/>
      </c>
      <c r="I214" s="192" t="str" cm="1">
        <f t="array" ref="I214">Common_InputFunctions.Utility_DisplayArrayInTable(Fertiliser_SourceData.Fertiliser_Products_Data5(),FertiliserProducts[[#Headers],[Company]], 121)</f>
        <v/>
      </c>
      <c r="J214" s="192" t="str" cm="1">
        <f t="array" ref="J214">Common_InputFunctions.Utility_DisplayArrayInTable(Fertiliser_SourceData.Fertiliser_Products_Data5(),FertiliserProducts[[#Headers],[Company]], 121)</f>
        <v/>
      </c>
      <c r="K214" s="192" cm="1">
        <f t="array" ref="K214">Common_InputFunctions.Utility_DisplayArrayInTable(Fertiliser_SourceData.Fertiliser_Products_Data5(),FertiliserProducts[[#Headers],[Company]], 121)</f>
        <v>23</v>
      </c>
      <c r="L214" s="192" cm="1">
        <f t="array" ref="L214">Common_InputFunctions.Utility_DisplayArrayInTable(Fertiliser_SourceData.Fertiliser_Products_Data5(),FertiliserProducts[[#Headers],[Company]], 121)</f>
        <v>0</v>
      </c>
      <c r="M214" s="192" cm="1">
        <f t="array" ref="M214">Common_InputFunctions.Utility_DisplayArrayInTable(Fertiliser_SourceData.Fertiliser_Products_Data5(),FertiliserProducts[[#Headers],[Company]], 121)</f>
        <v>25</v>
      </c>
      <c r="N214" s="192" cm="1">
        <f t="array" ref="N214">Common_InputFunctions.Utility_DisplayArrayInTable(Fertiliser_SourceData.Fertiliser_Products_Data5(),FertiliserProducts[[#Headers],[Company]], 121)</f>
        <v>0</v>
      </c>
      <c r="O214" s="192" t="str" cm="1">
        <f t="array" ref="O214">Common_InputFunctions.Utility_DisplayArrayInTable(Fertiliser_SourceData.Fertiliser_Products_Data5(),FertiliserProducts[[#Headers],[Company]], 121)</f>
        <v>Nitrogen - Generic</v>
      </c>
      <c r="P214" s="192" cm="1">
        <f t="array" ref="P214">Common_InputFunctions.Utility_DisplayArrayInTable(Fertiliser_SourceData.Fertiliser_Products_Data5(),FertiliserProducts[[#Headers],[Company]], 121)</f>
        <v>0.23</v>
      </c>
      <c r="Q214" s="192" t="str" cm="1">
        <f t="array" ref="Q214">Common_InputFunctions.Utility_DisplayArrayInTable(Fertiliser_SourceData.Fertiliser_Products_Data5(),FertiliserProducts[[#Headers],[Company]], 121)</f>
        <v>Potassium - Generic</v>
      </c>
      <c r="R214" s="192" cm="1">
        <f t="array" ref="R214">Common_InputFunctions.Utility_DisplayArrayInTable(Fertiliser_SourceData.Fertiliser_Products_Data5(),FertiliserProducts[[#Headers],[Company]], 121)</f>
        <v>0.25</v>
      </c>
      <c r="S214" s="192" t="str" cm="1">
        <f t="array" ref="S214">Common_InputFunctions.Utility_DisplayArrayInTable(Fertiliser_SourceData.Fertiliser_Products_Data5(),FertiliserProducts[[#Headers],[Company]], 121)</f>
        <v/>
      </c>
      <c r="T214" s="192" t="str" cm="1">
        <f t="array" ref="T214">Common_InputFunctions.Utility_DisplayArrayInTable(Fertiliser_SourceData.Fertiliser_Products_Data5(),FertiliserProducts[[#Headers],[Company]], 121)</f>
        <v/>
      </c>
      <c r="U214" s="192" t="str" cm="1">
        <f t="array" ref="U214">Common_InputFunctions.Utility_DisplayArrayInTable(Fertiliser_SourceData.Fertiliser_Products_Data5(),FertiliserProducts[[#Headers],[Company]], 121)</f>
        <v/>
      </c>
      <c r="V214" s="192" t="str" cm="1">
        <f t="array" ref="V214">Common_InputFunctions.Utility_DisplayArrayInTable(Fertiliser_SourceData.Fertiliser_Products_Data5(),FertiliserProducts[[#Headers],[Company]], 121)</f>
        <v/>
      </c>
      <c r="W214" s="192" t="str" cm="1">
        <f t="array" ref="W214">Common_InputFunctions.Utility_DisplayArrayInTable(Fertiliser_SourceData.Fertiliser_Products_Data5(),FertiliserProducts[[#Headers],[Company]], 121)</f>
        <v/>
      </c>
      <c r="X214" s="192" t="str" cm="1">
        <f t="array" ref="X214">Common_InputFunctions.Utility_DisplayArrayInTable(Fertiliser_SourceData.Fertiliser_Products_Data5(),FertiliserProducts[[#Headers],[Company]], 121)</f>
        <v/>
      </c>
      <c r="Y214" s="192" t="str" cm="1">
        <f t="array" ref="Y214">Common_InputFunctions.Utility_DisplayArrayInTable(Fertiliser_SourceData.Fertiliser_Products_Data5(),FertiliserProducts[[#Headers],[Company]], 121)</f>
        <v/>
      </c>
      <c r="Z214" s="192" t="str" cm="1">
        <f t="array" ref="Z214">Common_InputFunctions.Utility_DisplayArrayInTable(Fertiliser_SourceData.Fertiliser_Products_Data5(),FertiliserProducts[[#Headers],[Company]], 121)</f>
        <v/>
      </c>
      <c r="AA214" s="192" t="str" cm="1">
        <f t="array" ref="AA214">Common_InputFunctions.Utility_DisplayArrayInTable(Fertiliser_SourceData.Fertiliser_Products_Data5(),FertiliserProducts[[#Headers],[Company]], 121)</f>
        <v/>
      </c>
      <c r="AB214" s="192" t="str" cm="1">
        <f t="array" ref="AB214">Common_InputFunctions.Utility_DisplayArrayInTable(Fertiliser_SourceData.Fertiliser_Products_Data5(),FertiliserProducts[[#Headers],[Company]], 121)</f>
        <v/>
      </c>
      <c r="AC214" s="192" t="str" cm="1">
        <f t="array" ref="AC214">Common_InputFunctions.Utility_DisplayArrayInTable(Fertiliser_SourceData.Fertiliser_Products_Data5(),FertiliserProducts[[#Headers],[Company]], 121)</f>
        <v/>
      </c>
      <c r="AD214" s="192" t="str" cm="1">
        <f t="array" ref="AD214">Common_InputFunctions.Utility_DisplayArrayInTable(Fertiliser_SourceData.Fertiliser_Products_Data5(),FertiliserProducts[[#Headers],[Company]], 121)</f>
        <v/>
      </c>
      <c r="AE214" s="192" t="str" cm="1">
        <f t="array" ref="AE214">Common_InputFunctions.Utility_DisplayArrayInTable(Fertiliser_SourceData.Fertiliser_Products_Data5(),FertiliserProducts[[#Headers],[Company]], 121)</f>
        <v/>
      </c>
      <c r="AF214" s="192" t="str" cm="1">
        <f t="array" ref="AF214">Common_InputFunctions.Utility_DisplayArrayInTable(Fertiliser_SourceData.Fertiliser_Products_Data5(),FertiliserProducts[[#Headers],[Company]], 121)</f>
        <v/>
      </c>
      <c r="AG214" s="192" t="str" cm="1">
        <f t="array" ref="AG214">Common_InputFunctions.Utility_DisplayArrayInTable(Fertiliser_SourceData.Fertiliser_Products_Data5(),FertiliserProducts[[#Headers],[Company]], 121)</f>
        <v/>
      </c>
      <c r="AH214" s="192" t="str" cm="1">
        <f t="array" ref="AH214">Common_InputFunctions.Utility_DisplayArrayInTable(Fertiliser_SourceData.Fertiliser_Products_Data5(),FertiliserProducts[[#Headers],[Company]], 121)</f>
        <v/>
      </c>
    </row>
    <row r="215" spans="4:34" x14ac:dyDescent="0.25">
      <c r="D215" s="192" t="str" cm="1">
        <f t="array" ref="D215">Common_InputFunctions.Utility_DisplayArrayInTable(Fertiliser_SourceData.Fertiliser_Products_Data5(),FertiliserProducts[[#Headers],[Company]], 121)</f>
        <v>Wengfu Australia</v>
      </c>
      <c r="E215" s="192" t="str" cm="1">
        <f t="array" ref="E215">Common_InputFunctions.Utility_DisplayArrayInTable(Fertiliser_SourceData.Fertiliser_Products_Data5(),FertiliserProducts[[#Headers],[Company]], 121)</f>
        <v>Wengfu Sidedress</v>
      </c>
      <c r="F215" s="192" t="str" cm="1">
        <f t="array" ref="F215">Common_InputFunctions.Utility_DisplayArrayInTable(Fertiliser_SourceData.Fertiliser_Products_Data5(),FertiliserProducts[[#Headers],[Company]], 121)</f>
        <v>kg</v>
      </c>
      <c r="G215" s="192" cm="1">
        <f t="array" ref="G215">Common_InputFunctions.Utility_DisplayArrayInTable(Fertiliser_SourceData.Fertiliser_Products_Data5(),FertiliserProducts[[#Headers],[Company]], 121)</f>
        <v>1</v>
      </c>
      <c r="H215" s="192" t="str" cm="1">
        <f t="array" ref="H215">Common_InputFunctions.Utility_DisplayArrayInTable(Fertiliser_SourceData.Fertiliser_Products_Data5(),FertiliserProducts[[#Headers],[Company]], 121)</f>
        <v/>
      </c>
      <c r="I215" s="192" t="str" cm="1">
        <f t="array" ref="I215">Common_InputFunctions.Utility_DisplayArrayInTable(Fertiliser_SourceData.Fertiliser_Products_Data5(),FertiliserProducts[[#Headers],[Company]], 121)</f>
        <v/>
      </c>
      <c r="J215" s="192" t="str" cm="1">
        <f t="array" ref="J215">Common_InputFunctions.Utility_DisplayArrayInTable(Fertiliser_SourceData.Fertiliser_Products_Data5(),FertiliserProducts[[#Headers],[Company]], 121)</f>
        <v/>
      </c>
      <c r="K215" s="192" cm="1">
        <f t="array" ref="K215">Common_InputFunctions.Utility_DisplayArrayInTable(Fertiliser_SourceData.Fertiliser_Products_Data5(),FertiliserProducts[[#Headers],[Company]], 121)</f>
        <v>25</v>
      </c>
      <c r="L215" s="192" cm="1">
        <f t="array" ref="L215">Common_InputFunctions.Utility_DisplayArrayInTable(Fertiliser_SourceData.Fertiliser_Products_Data5(),FertiliserProducts[[#Headers],[Company]], 121)</f>
        <v>4</v>
      </c>
      <c r="M215" s="192" cm="1">
        <f t="array" ref="M215">Common_InputFunctions.Utility_DisplayArrayInTable(Fertiliser_SourceData.Fertiliser_Products_Data5(),FertiliserProducts[[#Headers],[Company]], 121)</f>
        <v>13</v>
      </c>
      <c r="N215" s="192" cm="1">
        <f t="array" ref="N215">Common_InputFunctions.Utility_DisplayArrayInTable(Fertiliser_SourceData.Fertiliser_Products_Data5(),FertiliserProducts[[#Headers],[Company]], 121)</f>
        <v>4</v>
      </c>
      <c r="O215" s="192" t="str" cm="1">
        <f t="array" ref="O215">Common_InputFunctions.Utility_DisplayArrayInTable(Fertiliser_SourceData.Fertiliser_Products_Data5(),FertiliserProducts[[#Headers],[Company]], 121)</f>
        <v>Nitrogen - Generic</v>
      </c>
      <c r="P215" s="192" cm="1">
        <f t="array" ref="P215">Common_InputFunctions.Utility_DisplayArrayInTable(Fertiliser_SourceData.Fertiliser_Products_Data5(),FertiliserProducts[[#Headers],[Company]], 121)</f>
        <v>0.25</v>
      </c>
      <c r="Q215" s="192" t="str" cm="1">
        <f t="array" ref="Q215">Common_InputFunctions.Utility_DisplayArrayInTable(Fertiliser_SourceData.Fertiliser_Products_Data5(),FertiliserProducts[[#Headers],[Company]], 121)</f>
        <v>Phosphorus - Generic</v>
      </c>
      <c r="R215" s="192" cm="1">
        <f t="array" ref="R215">Common_InputFunctions.Utility_DisplayArrayInTable(Fertiliser_SourceData.Fertiliser_Products_Data5(),FertiliserProducts[[#Headers],[Company]], 121)</f>
        <v>0.04</v>
      </c>
      <c r="S215" s="192" t="str" cm="1">
        <f t="array" ref="S215">Common_InputFunctions.Utility_DisplayArrayInTable(Fertiliser_SourceData.Fertiliser_Products_Data5(),FertiliserProducts[[#Headers],[Company]], 121)</f>
        <v>Potassium - Generic</v>
      </c>
      <c r="T215" s="192" cm="1">
        <f t="array" ref="T215">Common_InputFunctions.Utility_DisplayArrayInTable(Fertiliser_SourceData.Fertiliser_Products_Data5(),FertiliserProducts[[#Headers],[Company]], 121)</f>
        <v>0.13</v>
      </c>
      <c r="U215" s="192" t="str" cm="1">
        <f t="array" ref="U215">Common_InputFunctions.Utility_DisplayArrayInTable(Fertiliser_SourceData.Fertiliser_Products_Data5(),FertiliserProducts[[#Headers],[Company]], 121)</f>
        <v>Sulfur - Generic</v>
      </c>
      <c r="V215" s="192" cm="1">
        <f t="array" ref="V215">Common_InputFunctions.Utility_DisplayArrayInTable(Fertiliser_SourceData.Fertiliser_Products_Data5(),FertiliserProducts[[#Headers],[Company]], 121)</f>
        <v>0.04</v>
      </c>
      <c r="W215" s="192" t="str" cm="1">
        <f t="array" ref="W215">Common_InputFunctions.Utility_DisplayArrayInTable(Fertiliser_SourceData.Fertiliser_Products_Data5(),FertiliserProducts[[#Headers],[Company]], 121)</f>
        <v/>
      </c>
      <c r="X215" s="192" t="str" cm="1">
        <f t="array" ref="X215">Common_InputFunctions.Utility_DisplayArrayInTable(Fertiliser_SourceData.Fertiliser_Products_Data5(),FertiliserProducts[[#Headers],[Company]], 121)</f>
        <v/>
      </c>
      <c r="Y215" s="192" t="str" cm="1">
        <f t="array" ref="Y215">Common_InputFunctions.Utility_DisplayArrayInTable(Fertiliser_SourceData.Fertiliser_Products_Data5(),FertiliserProducts[[#Headers],[Company]], 121)</f>
        <v/>
      </c>
      <c r="Z215" s="192" t="str" cm="1">
        <f t="array" ref="Z215">Common_InputFunctions.Utility_DisplayArrayInTable(Fertiliser_SourceData.Fertiliser_Products_Data5(),FertiliserProducts[[#Headers],[Company]], 121)</f>
        <v/>
      </c>
      <c r="AA215" s="192" t="str" cm="1">
        <f t="array" ref="AA215">Common_InputFunctions.Utility_DisplayArrayInTable(Fertiliser_SourceData.Fertiliser_Products_Data5(),FertiliserProducts[[#Headers],[Company]], 121)</f>
        <v/>
      </c>
      <c r="AB215" s="192" t="str" cm="1">
        <f t="array" ref="AB215">Common_InputFunctions.Utility_DisplayArrayInTable(Fertiliser_SourceData.Fertiliser_Products_Data5(),FertiliserProducts[[#Headers],[Company]], 121)</f>
        <v/>
      </c>
      <c r="AC215" s="192" t="str" cm="1">
        <f t="array" ref="AC215">Common_InputFunctions.Utility_DisplayArrayInTable(Fertiliser_SourceData.Fertiliser_Products_Data5(),FertiliserProducts[[#Headers],[Company]], 121)</f>
        <v/>
      </c>
      <c r="AD215" s="192" t="str" cm="1">
        <f t="array" ref="AD215">Common_InputFunctions.Utility_DisplayArrayInTable(Fertiliser_SourceData.Fertiliser_Products_Data5(),FertiliserProducts[[#Headers],[Company]], 121)</f>
        <v/>
      </c>
      <c r="AE215" s="192" t="str" cm="1">
        <f t="array" ref="AE215">Common_InputFunctions.Utility_DisplayArrayInTable(Fertiliser_SourceData.Fertiliser_Products_Data5(),FertiliserProducts[[#Headers],[Company]], 121)</f>
        <v/>
      </c>
      <c r="AF215" s="192" t="str" cm="1">
        <f t="array" ref="AF215">Common_InputFunctions.Utility_DisplayArrayInTable(Fertiliser_SourceData.Fertiliser_Products_Data5(),FertiliserProducts[[#Headers],[Company]], 121)</f>
        <v/>
      </c>
      <c r="AG215" s="192" t="str" cm="1">
        <f t="array" ref="AG215">Common_InputFunctions.Utility_DisplayArrayInTable(Fertiliser_SourceData.Fertiliser_Products_Data5(),FertiliserProducts[[#Headers],[Company]], 121)</f>
        <v/>
      </c>
      <c r="AH215" s="192" t="str" cm="1">
        <f t="array" ref="AH215">Common_InputFunctions.Utility_DisplayArrayInTable(Fertiliser_SourceData.Fertiliser_Products_Data5(),FertiliserProducts[[#Headers],[Company]], 121)</f>
        <v/>
      </c>
    </row>
    <row r="216" spans="4:34" x14ac:dyDescent="0.25">
      <c r="D216" s="192" t="str" cm="1">
        <f t="array" ref="D216">Common_InputFunctions.Utility_DisplayArrayInTable(Fertiliser_SourceData.Fertiliser_Products_Data5(),FertiliserProducts[[#Headers],[Company]], 121)</f>
        <v>Wengfu Australia</v>
      </c>
      <c r="E216" s="192" t="str" cm="1">
        <f t="array" ref="E216">Common_InputFunctions.Utility_DisplayArrayInTable(Fertiliser_SourceData.Fertiliser_Products_Data5(),FertiliserProducts[[#Headers],[Company]], 121)</f>
        <v>Wengfu Pasture Booster</v>
      </c>
      <c r="F216" s="192" t="str" cm="1">
        <f t="array" ref="F216">Common_InputFunctions.Utility_DisplayArrayInTable(Fertiliser_SourceData.Fertiliser_Products_Data5(),FertiliserProducts[[#Headers],[Company]], 121)</f>
        <v>kg</v>
      </c>
      <c r="G216" s="192" cm="1">
        <f t="array" ref="G216">Common_InputFunctions.Utility_DisplayArrayInTable(Fertiliser_SourceData.Fertiliser_Products_Data5(),FertiliserProducts[[#Headers],[Company]], 121)</f>
        <v>1</v>
      </c>
      <c r="H216" s="192" t="str" cm="1">
        <f t="array" ref="H216">Common_InputFunctions.Utility_DisplayArrayInTable(Fertiliser_SourceData.Fertiliser_Products_Data5(),FertiliserProducts[[#Headers],[Company]], 121)</f>
        <v/>
      </c>
      <c r="I216" s="192" t="str" cm="1">
        <f t="array" ref="I216">Common_InputFunctions.Utility_DisplayArrayInTable(Fertiliser_SourceData.Fertiliser_Products_Data5(),FertiliserProducts[[#Headers],[Company]], 121)</f>
        <v/>
      </c>
      <c r="J216" s="192" t="str" cm="1">
        <f t="array" ref="J216">Common_InputFunctions.Utility_DisplayArrayInTable(Fertiliser_SourceData.Fertiliser_Products_Data5(),FertiliserProducts[[#Headers],[Company]], 121)</f>
        <v/>
      </c>
      <c r="K216" s="192" cm="1">
        <f t="array" ref="K216">Common_InputFunctions.Utility_DisplayArrayInTable(Fertiliser_SourceData.Fertiliser_Products_Data5(),FertiliserProducts[[#Headers],[Company]], 121)</f>
        <v>13</v>
      </c>
      <c r="L216" s="192" cm="1">
        <f t="array" ref="L216">Common_InputFunctions.Utility_DisplayArrayInTable(Fertiliser_SourceData.Fertiliser_Products_Data5(),FertiliserProducts[[#Headers],[Company]], 121)</f>
        <v>5</v>
      </c>
      <c r="M216" s="192" cm="1">
        <f t="array" ref="M216">Common_InputFunctions.Utility_DisplayArrayInTable(Fertiliser_SourceData.Fertiliser_Products_Data5(),FertiliserProducts[[#Headers],[Company]], 121)</f>
        <v>24</v>
      </c>
      <c r="N216" s="192" cm="1">
        <f t="array" ref="N216">Common_InputFunctions.Utility_DisplayArrayInTable(Fertiliser_SourceData.Fertiliser_Products_Data5(),FertiliserProducts[[#Headers],[Company]], 121)</f>
        <v>5</v>
      </c>
      <c r="O216" s="192" t="str" cm="1">
        <f t="array" ref="O216">Common_InputFunctions.Utility_DisplayArrayInTable(Fertiliser_SourceData.Fertiliser_Products_Data5(),FertiliserProducts[[#Headers],[Company]], 121)</f>
        <v>Nitrogen - Generic</v>
      </c>
      <c r="P216" s="192" cm="1">
        <f t="array" ref="P216">Common_InputFunctions.Utility_DisplayArrayInTable(Fertiliser_SourceData.Fertiliser_Products_Data5(),FertiliserProducts[[#Headers],[Company]], 121)</f>
        <v>0.13</v>
      </c>
      <c r="Q216" s="192" t="str" cm="1">
        <f t="array" ref="Q216">Common_InputFunctions.Utility_DisplayArrayInTable(Fertiliser_SourceData.Fertiliser_Products_Data5(),FertiliserProducts[[#Headers],[Company]], 121)</f>
        <v>Phosphorus - Generic</v>
      </c>
      <c r="R216" s="192" cm="1">
        <f t="array" ref="R216">Common_InputFunctions.Utility_DisplayArrayInTable(Fertiliser_SourceData.Fertiliser_Products_Data5(),FertiliserProducts[[#Headers],[Company]], 121)</f>
        <v>0.05</v>
      </c>
      <c r="S216" s="192" t="str" cm="1">
        <f t="array" ref="S216">Common_InputFunctions.Utility_DisplayArrayInTable(Fertiliser_SourceData.Fertiliser_Products_Data5(),FertiliserProducts[[#Headers],[Company]], 121)</f>
        <v>Potassium - Generic</v>
      </c>
      <c r="T216" s="192" cm="1">
        <f t="array" ref="T216">Common_InputFunctions.Utility_DisplayArrayInTable(Fertiliser_SourceData.Fertiliser_Products_Data5(),FertiliserProducts[[#Headers],[Company]], 121)</f>
        <v>0.24</v>
      </c>
      <c r="U216" s="192" t="str" cm="1">
        <f t="array" ref="U216">Common_InputFunctions.Utility_DisplayArrayInTable(Fertiliser_SourceData.Fertiliser_Products_Data5(),FertiliserProducts[[#Headers],[Company]], 121)</f>
        <v>Sulfur - Generic</v>
      </c>
      <c r="V216" s="192" cm="1">
        <f t="array" ref="V216">Common_InputFunctions.Utility_DisplayArrayInTable(Fertiliser_SourceData.Fertiliser_Products_Data5(),FertiliserProducts[[#Headers],[Company]], 121)</f>
        <v>0.05</v>
      </c>
      <c r="W216" s="192" t="str" cm="1">
        <f t="array" ref="W216">Common_InputFunctions.Utility_DisplayArrayInTable(Fertiliser_SourceData.Fertiliser_Products_Data5(),FertiliserProducts[[#Headers],[Company]], 121)</f>
        <v/>
      </c>
      <c r="X216" s="192" t="str" cm="1">
        <f t="array" ref="X216">Common_InputFunctions.Utility_DisplayArrayInTable(Fertiliser_SourceData.Fertiliser_Products_Data5(),FertiliserProducts[[#Headers],[Company]], 121)</f>
        <v/>
      </c>
      <c r="Y216" s="192" t="str" cm="1">
        <f t="array" ref="Y216">Common_InputFunctions.Utility_DisplayArrayInTable(Fertiliser_SourceData.Fertiliser_Products_Data5(),FertiliserProducts[[#Headers],[Company]], 121)</f>
        <v/>
      </c>
      <c r="Z216" s="192" t="str" cm="1">
        <f t="array" ref="Z216">Common_InputFunctions.Utility_DisplayArrayInTable(Fertiliser_SourceData.Fertiliser_Products_Data5(),FertiliserProducts[[#Headers],[Company]], 121)</f>
        <v/>
      </c>
      <c r="AA216" s="192" t="str" cm="1">
        <f t="array" ref="AA216">Common_InputFunctions.Utility_DisplayArrayInTable(Fertiliser_SourceData.Fertiliser_Products_Data5(),FertiliserProducts[[#Headers],[Company]], 121)</f>
        <v/>
      </c>
      <c r="AB216" s="192" t="str" cm="1">
        <f t="array" ref="AB216">Common_InputFunctions.Utility_DisplayArrayInTable(Fertiliser_SourceData.Fertiliser_Products_Data5(),FertiliserProducts[[#Headers],[Company]], 121)</f>
        <v/>
      </c>
      <c r="AC216" s="192" t="str" cm="1">
        <f t="array" ref="AC216">Common_InputFunctions.Utility_DisplayArrayInTable(Fertiliser_SourceData.Fertiliser_Products_Data5(),FertiliserProducts[[#Headers],[Company]], 121)</f>
        <v/>
      </c>
      <c r="AD216" s="192" t="str" cm="1">
        <f t="array" ref="AD216">Common_InputFunctions.Utility_DisplayArrayInTable(Fertiliser_SourceData.Fertiliser_Products_Data5(),FertiliserProducts[[#Headers],[Company]], 121)</f>
        <v/>
      </c>
      <c r="AE216" s="192" t="str" cm="1">
        <f t="array" ref="AE216">Common_InputFunctions.Utility_DisplayArrayInTable(Fertiliser_SourceData.Fertiliser_Products_Data5(),FertiliserProducts[[#Headers],[Company]], 121)</f>
        <v/>
      </c>
      <c r="AF216" s="192" t="str" cm="1">
        <f t="array" ref="AF216">Common_InputFunctions.Utility_DisplayArrayInTable(Fertiliser_SourceData.Fertiliser_Products_Data5(),FertiliserProducts[[#Headers],[Company]], 121)</f>
        <v/>
      </c>
      <c r="AG216" s="192" t="str" cm="1">
        <f t="array" ref="AG216">Common_InputFunctions.Utility_DisplayArrayInTable(Fertiliser_SourceData.Fertiliser_Products_Data5(),FertiliserProducts[[#Headers],[Company]], 121)</f>
        <v/>
      </c>
      <c r="AH216" s="192" t="str" cm="1">
        <f t="array" ref="AH216">Common_InputFunctions.Utility_DisplayArrayInTable(Fertiliser_SourceData.Fertiliser_Products_Data5(),FertiliserProducts[[#Headers],[Company]], 121)</f>
        <v/>
      </c>
    </row>
    <row r="217" spans="4:34" x14ac:dyDescent="0.25">
      <c r="D217" s="192" t="str" cm="1">
        <f t="array" ref="D217">Common_InputFunctions.Utility_DisplayArrayInTable(Fertiliser_SourceData.Fertiliser_Products_Data5(),FertiliserProducts[[#Headers],[Company]], 121)</f>
        <v>Wengfu Australia</v>
      </c>
      <c r="E217" s="192" t="str" cm="1">
        <f t="array" ref="E217">Common_InputFunctions.Utility_DisplayArrayInTable(Fertiliser_SourceData.Fertiliser_Products_Data5(),FertiliserProducts[[#Headers],[Company]], 121)</f>
        <v>Wengfu DAP Hay Booster</v>
      </c>
      <c r="F217" s="192" t="str" cm="1">
        <f t="array" ref="F217">Common_InputFunctions.Utility_DisplayArrayInTable(Fertiliser_SourceData.Fertiliser_Products_Data5(),FertiliserProducts[[#Headers],[Company]], 121)</f>
        <v>kg</v>
      </c>
      <c r="G217" s="192" cm="1">
        <f t="array" ref="G217">Common_InputFunctions.Utility_DisplayArrayInTable(Fertiliser_SourceData.Fertiliser_Products_Data5(),FertiliserProducts[[#Headers],[Company]], 121)</f>
        <v>1</v>
      </c>
      <c r="H217" s="192" t="str" cm="1">
        <f t="array" ref="H217">Common_InputFunctions.Utility_DisplayArrayInTable(Fertiliser_SourceData.Fertiliser_Products_Data5(),FertiliserProducts[[#Headers],[Company]], 121)</f>
        <v/>
      </c>
      <c r="I217" s="192" t="str" cm="1">
        <f t="array" ref="I217">Common_InputFunctions.Utility_DisplayArrayInTable(Fertiliser_SourceData.Fertiliser_Products_Data5(),FertiliserProducts[[#Headers],[Company]], 121)</f>
        <v/>
      </c>
      <c r="J217" s="192" t="str" cm="1">
        <f t="array" ref="J217">Common_InputFunctions.Utility_DisplayArrayInTable(Fertiliser_SourceData.Fertiliser_Products_Data5(),FertiliserProducts[[#Headers],[Company]], 121)</f>
        <v/>
      </c>
      <c r="K217" s="192" cm="1">
        <f t="array" ref="K217">Common_InputFunctions.Utility_DisplayArrayInTable(Fertiliser_SourceData.Fertiliser_Products_Data5(),FertiliserProducts[[#Headers],[Company]], 121)</f>
        <v>11</v>
      </c>
      <c r="L217" s="192" cm="1">
        <f t="array" ref="L217">Common_InputFunctions.Utility_DisplayArrayInTable(Fertiliser_SourceData.Fertiliser_Products_Data5(),FertiliserProducts[[#Headers],[Company]], 121)</f>
        <v>5</v>
      </c>
      <c r="M217" s="192" cm="1">
        <f t="array" ref="M217">Common_InputFunctions.Utility_DisplayArrayInTable(Fertiliser_SourceData.Fertiliser_Products_Data5(),FertiliserProducts[[#Headers],[Company]], 121)</f>
        <v>24</v>
      </c>
      <c r="N217" s="192" cm="1">
        <f t="array" ref="N217">Common_InputFunctions.Utility_DisplayArrayInTable(Fertiliser_SourceData.Fertiliser_Products_Data5(),FertiliserProducts[[#Headers],[Company]], 121)</f>
        <v>4</v>
      </c>
      <c r="O217" s="192" t="str" cm="1">
        <f t="array" ref="O217">Common_InputFunctions.Utility_DisplayArrayInTable(Fertiliser_SourceData.Fertiliser_Products_Data5(),FertiliserProducts[[#Headers],[Company]], 121)</f>
        <v>Nitrogen - Generic</v>
      </c>
      <c r="P217" s="192" cm="1">
        <f t="array" ref="P217">Common_InputFunctions.Utility_DisplayArrayInTable(Fertiliser_SourceData.Fertiliser_Products_Data5(),FertiliserProducts[[#Headers],[Company]], 121)</f>
        <v>0.11</v>
      </c>
      <c r="Q217" s="192" t="str" cm="1">
        <f t="array" ref="Q217">Common_InputFunctions.Utility_DisplayArrayInTable(Fertiliser_SourceData.Fertiliser_Products_Data5(),FertiliserProducts[[#Headers],[Company]], 121)</f>
        <v>Phosphorus - Generic</v>
      </c>
      <c r="R217" s="192" cm="1">
        <f t="array" ref="R217">Common_InputFunctions.Utility_DisplayArrayInTable(Fertiliser_SourceData.Fertiliser_Products_Data5(),FertiliserProducts[[#Headers],[Company]], 121)</f>
        <v>0.05</v>
      </c>
      <c r="S217" s="192" t="str" cm="1">
        <f t="array" ref="S217">Common_InputFunctions.Utility_DisplayArrayInTable(Fertiliser_SourceData.Fertiliser_Products_Data5(),FertiliserProducts[[#Headers],[Company]], 121)</f>
        <v>Potassium - Generic</v>
      </c>
      <c r="T217" s="192" cm="1">
        <f t="array" ref="T217">Common_InputFunctions.Utility_DisplayArrayInTable(Fertiliser_SourceData.Fertiliser_Products_Data5(),FertiliserProducts[[#Headers],[Company]], 121)</f>
        <v>0.24</v>
      </c>
      <c r="U217" s="192" t="str" cm="1">
        <f t="array" ref="U217">Common_InputFunctions.Utility_DisplayArrayInTable(Fertiliser_SourceData.Fertiliser_Products_Data5(),FertiliserProducts[[#Headers],[Company]], 121)</f>
        <v>Sulfur - Generic</v>
      </c>
      <c r="V217" s="192" cm="1">
        <f t="array" ref="V217">Common_InputFunctions.Utility_DisplayArrayInTable(Fertiliser_SourceData.Fertiliser_Products_Data5(),FertiliserProducts[[#Headers],[Company]], 121)</f>
        <v>0.04</v>
      </c>
      <c r="W217" s="192" t="str" cm="1">
        <f t="array" ref="W217">Common_InputFunctions.Utility_DisplayArrayInTable(Fertiliser_SourceData.Fertiliser_Products_Data5(),FertiliserProducts[[#Headers],[Company]], 121)</f>
        <v/>
      </c>
      <c r="X217" s="192" t="str" cm="1">
        <f t="array" ref="X217">Common_InputFunctions.Utility_DisplayArrayInTable(Fertiliser_SourceData.Fertiliser_Products_Data5(),FertiliserProducts[[#Headers],[Company]], 121)</f>
        <v/>
      </c>
      <c r="Y217" s="192" t="str" cm="1">
        <f t="array" ref="Y217">Common_InputFunctions.Utility_DisplayArrayInTable(Fertiliser_SourceData.Fertiliser_Products_Data5(),FertiliserProducts[[#Headers],[Company]], 121)</f>
        <v/>
      </c>
      <c r="Z217" s="192" t="str" cm="1">
        <f t="array" ref="Z217">Common_InputFunctions.Utility_DisplayArrayInTable(Fertiliser_SourceData.Fertiliser_Products_Data5(),FertiliserProducts[[#Headers],[Company]], 121)</f>
        <v/>
      </c>
      <c r="AA217" s="192" t="str" cm="1">
        <f t="array" ref="AA217">Common_InputFunctions.Utility_DisplayArrayInTable(Fertiliser_SourceData.Fertiliser_Products_Data5(),FertiliserProducts[[#Headers],[Company]], 121)</f>
        <v/>
      </c>
      <c r="AB217" s="192" t="str" cm="1">
        <f t="array" ref="AB217">Common_InputFunctions.Utility_DisplayArrayInTable(Fertiliser_SourceData.Fertiliser_Products_Data5(),FertiliserProducts[[#Headers],[Company]], 121)</f>
        <v/>
      </c>
      <c r="AC217" s="192" t="str" cm="1">
        <f t="array" ref="AC217">Common_InputFunctions.Utility_DisplayArrayInTable(Fertiliser_SourceData.Fertiliser_Products_Data5(),FertiliserProducts[[#Headers],[Company]], 121)</f>
        <v/>
      </c>
      <c r="AD217" s="192" t="str" cm="1">
        <f t="array" ref="AD217">Common_InputFunctions.Utility_DisplayArrayInTable(Fertiliser_SourceData.Fertiliser_Products_Data5(),FertiliserProducts[[#Headers],[Company]], 121)</f>
        <v/>
      </c>
      <c r="AE217" s="192" t="str" cm="1">
        <f t="array" ref="AE217">Common_InputFunctions.Utility_DisplayArrayInTable(Fertiliser_SourceData.Fertiliser_Products_Data5(),FertiliserProducts[[#Headers],[Company]], 121)</f>
        <v/>
      </c>
      <c r="AF217" s="192" t="str" cm="1">
        <f t="array" ref="AF217">Common_InputFunctions.Utility_DisplayArrayInTable(Fertiliser_SourceData.Fertiliser_Products_Data5(),FertiliserProducts[[#Headers],[Company]], 121)</f>
        <v/>
      </c>
      <c r="AG217" s="192" t="str" cm="1">
        <f t="array" ref="AG217">Common_InputFunctions.Utility_DisplayArrayInTable(Fertiliser_SourceData.Fertiliser_Products_Data5(),FertiliserProducts[[#Headers],[Company]], 121)</f>
        <v/>
      </c>
      <c r="AH217" s="192" t="str" cm="1">
        <f t="array" ref="AH217">Common_InputFunctions.Utility_DisplayArrayInTable(Fertiliser_SourceData.Fertiliser_Products_Data5(),FertiliserProducts[[#Headers],[Company]], 121)</f>
        <v/>
      </c>
    </row>
    <row r="218" spans="4:34" x14ac:dyDescent="0.25">
      <c r="D218" s="192" t="str" cm="1">
        <f t="array" ref="D218">Common_InputFunctions.Utility_DisplayArrayInTable(Fertiliser_SourceData.Fertiliser_Products_Data5(),FertiliserProducts[[#Headers],[Company]], 121)</f>
        <v>Wengfu Australia</v>
      </c>
      <c r="E218" s="192" t="str" cm="1">
        <f t="array" ref="E218">Common_InputFunctions.Utility_DisplayArrayInTable(Fertiliser_SourceData.Fertiliser_Products_Data5(),FertiliserProducts[[#Headers],[Company]], 121)</f>
        <v>Wengfu MAP Hay Booster</v>
      </c>
      <c r="F218" s="192" t="str" cm="1">
        <f t="array" ref="F218">Common_InputFunctions.Utility_DisplayArrayInTable(Fertiliser_SourceData.Fertiliser_Products_Data5(),FertiliserProducts[[#Headers],[Company]], 121)</f>
        <v>kg</v>
      </c>
      <c r="G218" s="192" cm="1">
        <f t="array" ref="G218">Common_InputFunctions.Utility_DisplayArrayInTable(Fertiliser_SourceData.Fertiliser_Products_Data5(),FertiliserProducts[[#Headers],[Company]], 121)</f>
        <v>1</v>
      </c>
      <c r="H218" s="192" t="str" cm="1">
        <f t="array" ref="H218">Common_InputFunctions.Utility_DisplayArrayInTable(Fertiliser_SourceData.Fertiliser_Products_Data5(),FertiliserProducts[[#Headers],[Company]], 121)</f>
        <v/>
      </c>
      <c r="I218" s="192" t="str" cm="1">
        <f t="array" ref="I218">Common_InputFunctions.Utility_DisplayArrayInTable(Fertiliser_SourceData.Fertiliser_Products_Data5(),FertiliserProducts[[#Headers],[Company]], 121)</f>
        <v/>
      </c>
      <c r="J218" s="192" t="str" cm="1">
        <f t="array" ref="J218">Common_InputFunctions.Utility_DisplayArrayInTable(Fertiliser_SourceData.Fertiliser_Products_Data5(),FertiliserProducts[[#Headers],[Company]], 121)</f>
        <v/>
      </c>
      <c r="K218" s="192" cm="1">
        <f t="array" ref="K218">Common_InputFunctions.Utility_DisplayArrayInTable(Fertiliser_SourceData.Fertiliser_Products_Data5(),FertiliserProducts[[#Headers],[Company]], 121)</f>
        <v>11</v>
      </c>
      <c r="L218" s="192" cm="1">
        <f t="array" ref="L218">Common_InputFunctions.Utility_DisplayArrayInTable(Fertiliser_SourceData.Fertiliser_Products_Data5(),FertiliserProducts[[#Headers],[Company]], 121)</f>
        <v>8</v>
      </c>
      <c r="M218" s="192" cm="1">
        <f t="array" ref="M218">Common_InputFunctions.Utility_DisplayArrayInTable(Fertiliser_SourceData.Fertiliser_Products_Data5(),FertiliserProducts[[#Headers],[Company]], 121)</f>
        <v>20</v>
      </c>
      <c r="N218" s="192" cm="1">
        <f t="array" ref="N218">Common_InputFunctions.Utility_DisplayArrayInTable(Fertiliser_SourceData.Fertiliser_Products_Data5(),FertiliserProducts[[#Headers],[Company]], 121)</f>
        <v>6</v>
      </c>
      <c r="O218" s="192" t="str" cm="1">
        <f t="array" ref="O218">Common_InputFunctions.Utility_DisplayArrayInTable(Fertiliser_SourceData.Fertiliser_Products_Data5(),FertiliserProducts[[#Headers],[Company]], 121)</f>
        <v>Nitrogen - Generic</v>
      </c>
      <c r="P218" s="192" cm="1">
        <f t="array" ref="P218">Common_InputFunctions.Utility_DisplayArrayInTable(Fertiliser_SourceData.Fertiliser_Products_Data5(),FertiliserProducts[[#Headers],[Company]], 121)</f>
        <v>0.11</v>
      </c>
      <c r="Q218" s="192" t="str" cm="1">
        <f t="array" ref="Q218">Common_InputFunctions.Utility_DisplayArrayInTable(Fertiliser_SourceData.Fertiliser_Products_Data5(),FertiliserProducts[[#Headers],[Company]], 121)</f>
        <v>Phosphorus - Generic</v>
      </c>
      <c r="R218" s="192" cm="1">
        <f t="array" ref="R218">Common_InputFunctions.Utility_DisplayArrayInTable(Fertiliser_SourceData.Fertiliser_Products_Data5(),FertiliserProducts[[#Headers],[Company]], 121)</f>
        <v>0.08</v>
      </c>
      <c r="S218" s="192" t="str" cm="1">
        <f t="array" ref="S218">Common_InputFunctions.Utility_DisplayArrayInTable(Fertiliser_SourceData.Fertiliser_Products_Data5(),FertiliserProducts[[#Headers],[Company]], 121)</f>
        <v>Potassium - Generic</v>
      </c>
      <c r="T218" s="192" cm="1">
        <f t="array" ref="T218">Common_InputFunctions.Utility_DisplayArrayInTable(Fertiliser_SourceData.Fertiliser_Products_Data5(),FertiliserProducts[[#Headers],[Company]], 121)</f>
        <v>0.2</v>
      </c>
      <c r="U218" s="192" t="str" cm="1">
        <f t="array" ref="U218">Common_InputFunctions.Utility_DisplayArrayInTable(Fertiliser_SourceData.Fertiliser_Products_Data5(),FertiliserProducts[[#Headers],[Company]], 121)</f>
        <v>Sulfur - Generic</v>
      </c>
      <c r="V218" s="192" cm="1">
        <f t="array" ref="V218">Common_InputFunctions.Utility_DisplayArrayInTable(Fertiliser_SourceData.Fertiliser_Products_Data5(),FertiliserProducts[[#Headers],[Company]], 121)</f>
        <v>0.06</v>
      </c>
      <c r="W218" s="192" t="str" cm="1">
        <f t="array" ref="W218">Common_InputFunctions.Utility_DisplayArrayInTable(Fertiliser_SourceData.Fertiliser_Products_Data5(),FertiliserProducts[[#Headers],[Company]], 121)</f>
        <v/>
      </c>
      <c r="X218" s="192" t="str" cm="1">
        <f t="array" ref="X218">Common_InputFunctions.Utility_DisplayArrayInTable(Fertiliser_SourceData.Fertiliser_Products_Data5(),FertiliserProducts[[#Headers],[Company]], 121)</f>
        <v/>
      </c>
      <c r="Y218" s="192" t="str" cm="1">
        <f t="array" ref="Y218">Common_InputFunctions.Utility_DisplayArrayInTable(Fertiliser_SourceData.Fertiliser_Products_Data5(),FertiliserProducts[[#Headers],[Company]], 121)</f>
        <v/>
      </c>
      <c r="Z218" s="192" t="str" cm="1">
        <f t="array" ref="Z218">Common_InputFunctions.Utility_DisplayArrayInTable(Fertiliser_SourceData.Fertiliser_Products_Data5(),FertiliserProducts[[#Headers],[Company]], 121)</f>
        <v/>
      </c>
      <c r="AA218" s="192" t="str" cm="1">
        <f t="array" ref="AA218">Common_InputFunctions.Utility_DisplayArrayInTable(Fertiliser_SourceData.Fertiliser_Products_Data5(),FertiliserProducts[[#Headers],[Company]], 121)</f>
        <v/>
      </c>
      <c r="AB218" s="192" t="str" cm="1">
        <f t="array" ref="AB218">Common_InputFunctions.Utility_DisplayArrayInTable(Fertiliser_SourceData.Fertiliser_Products_Data5(),FertiliserProducts[[#Headers],[Company]], 121)</f>
        <v/>
      </c>
      <c r="AC218" s="192" t="str" cm="1">
        <f t="array" ref="AC218">Common_InputFunctions.Utility_DisplayArrayInTable(Fertiliser_SourceData.Fertiliser_Products_Data5(),FertiliserProducts[[#Headers],[Company]], 121)</f>
        <v/>
      </c>
      <c r="AD218" s="192" t="str" cm="1">
        <f t="array" ref="AD218">Common_InputFunctions.Utility_DisplayArrayInTable(Fertiliser_SourceData.Fertiliser_Products_Data5(),FertiliserProducts[[#Headers],[Company]], 121)</f>
        <v/>
      </c>
      <c r="AE218" s="192" t="str" cm="1">
        <f t="array" ref="AE218">Common_InputFunctions.Utility_DisplayArrayInTable(Fertiliser_SourceData.Fertiliser_Products_Data5(),FertiliserProducts[[#Headers],[Company]], 121)</f>
        <v/>
      </c>
      <c r="AF218" s="192" t="str" cm="1">
        <f t="array" ref="AF218">Common_InputFunctions.Utility_DisplayArrayInTable(Fertiliser_SourceData.Fertiliser_Products_Data5(),FertiliserProducts[[#Headers],[Company]], 121)</f>
        <v/>
      </c>
      <c r="AG218" s="192" t="str" cm="1">
        <f t="array" ref="AG218">Common_InputFunctions.Utility_DisplayArrayInTable(Fertiliser_SourceData.Fertiliser_Products_Data5(),FertiliserProducts[[#Headers],[Company]], 121)</f>
        <v/>
      </c>
      <c r="AH218" s="192" t="str" cm="1">
        <f t="array" ref="AH218">Common_InputFunctions.Utility_DisplayArrayInTable(Fertiliser_SourceData.Fertiliser_Products_Data5(),FertiliserProducts[[#Headers],[Company]], 121)</f>
        <v/>
      </c>
    </row>
    <row r="219" spans="4:34" x14ac:dyDescent="0.25">
      <c r="D219" s="192" t="str" cm="1">
        <f t="array" ref="D219">Common_InputFunctions.Utility_DisplayArrayInTable(Fertiliser_SourceData.Fertiliser_Products_Data5(),FertiliserProducts[[#Headers],[Company]], 121)</f>
        <v>Wengfu Australia</v>
      </c>
      <c r="E219" s="192" t="str" cm="1">
        <f t="array" ref="E219">Common_InputFunctions.Utility_DisplayArrayInTable(Fertiliser_SourceData.Fertiliser_Products_Data5(),FertiliserProducts[[#Headers],[Company]], 121)</f>
        <v>Wengfu Fodder Booster</v>
      </c>
      <c r="F219" s="192" t="str" cm="1">
        <f t="array" ref="F219">Common_InputFunctions.Utility_DisplayArrayInTable(Fertiliser_SourceData.Fertiliser_Products_Data5(),FertiliserProducts[[#Headers],[Company]], 121)</f>
        <v>kg</v>
      </c>
      <c r="G219" s="192" cm="1">
        <f t="array" ref="G219">Common_InputFunctions.Utility_DisplayArrayInTable(Fertiliser_SourceData.Fertiliser_Products_Data5(),FertiliserProducts[[#Headers],[Company]], 121)</f>
        <v>1</v>
      </c>
      <c r="H219" s="192" t="str" cm="1">
        <f t="array" ref="H219">Common_InputFunctions.Utility_DisplayArrayInTable(Fertiliser_SourceData.Fertiliser_Products_Data5(),FertiliserProducts[[#Headers],[Company]], 121)</f>
        <v/>
      </c>
      <c r="I219" s="192" t="str" cm="1">
        <f t="array" ref="I219">Common_InputFunctions.Utility_DisplayArrayInTable(Fertiliser_SourceData.Fertiliser_Products_Data5(),FertiliserProducts[[#Headers],[Company]], 121)</f>
        <v/>
      </c>
      <c r="J219" s="192" t="str" cm="1">
        <f t="array" ref="J219">Common_InputFunctions.Utility_DisplayArrayInTable(Fertiliser_SourceData.Fertiliser_Products_Data5(),FertiliserProducts[[#Headers],[Company]], 121)</f>
        <v/>
      </c>
      <c r="K219" s="192" cm="1">
        <f t="array" ref="K219">Common_InputFunctions.Utility_DisplayArrayInTable(Fertiliser_SourceData.Fertiliser_Products_Data5(),FertiliserProducts[[#Headers],[Company]], 121)</f>
        <v>9</v>
      </c>
      <c r="L219" s="192" cm="1">
        <f t="array" ref="L219">Common_InputFunctions.Utility_DisplayArrayInTable(Fertiliser_SourceData.Fertiliser_Products_Data5(),FertiliserProducts[[#Headers],[Company]], 121)</f>
        <v>4</v>
      </c>
      <c r="M219" s="192" cm="1">
        <f t="array" ref="M219">Common_InputFunctions.Utility_DisplayArrayInTable(Fertiliser_SourceData.Fertiliser_Products_Data5(),FertiliserProducts[[#Headers],[Company]], 121)</f>
        <v>5</v>
      </c>
      <c r="N219" s="192" cm="1">
        <f t="array" ref="N219">Common_InputFunctions.Utility_DisplayArrayInTable(Fertiliser_SourceData.Fertiliser_Products_Data5(),FertiliserProducts[[#Headers],[Company]], 121)</f>
        <v>15</v>
      </c>
      <c r="O219" s="192" t="str" cm="1">
        <f t="array" ref="O219">Common_InputFunctions.Utility_DisplayArrayInTable(Fertiliser_SourceData.Fertiliser_Products_Data5(),FertiliserProducts[[#Headers],[Company]], 121)</f>
        <v>Nitrogen - Generic</v>
      </c>
      <c r="P219" s="192" cm="1">
        <f t="array" ref="P219">Common_InputFunctions.Utility_DisplayArrayInTable(Fertiliser_SourceData.Fertiliser_Products_Data5(),FertiliserProducts[[#Headers],[Company]], 121)</f>
        <v>0.09</v>
      </c>
      <c r="Q219" s="192" t="str" cm="1">
        <f t="array" ref="Q219">Common_InputFunctions.Utility_DisplayArrayInTable(Fertiliser_SourceData.Fertiliser_Products_Data5(),FertiliserProducts[[#Headers],[Company]], 121)</f>
        <v>Phosphorus - Generic</v>
      </c>
      <c r="R219" s="192" cm="1">
        <f t="array" ref="R219">Common_InputFunctions.Utility_DisplayArrayInTable(Fertiliser_SourceData.Fertiliser_Products_Data5(),FertiliserProducts[[#Headers],[Company]], 121)</f>
        <v>0.04</v>
      </c>
      <c r="S219" s="192" t="str" cm="1">
        <f t="array" ref="S219">Common_InputFunctions.Utility_DisplayArrayInTable(Fertiliser_SourceData.Fertiliser_Products_Data5(),FertiliserProducts[[#Headers],[Company]], 121)</f>
        <v>Potassium - Generic</v>
      </c>
      <c r="T219" s="192" cm="1">
        <f t="array" ref="T219">Common_InputFunctions.Utility_DisplayArrayInTable(Fertiliser_SourceData.Fertiliser_Products_Data5(),FertiliserProducts[[#Headers],[Company]], 121)</f>
        <v>0.05</v>
      </c>
      <c r="U219" s="192" t="str" cm="1">
        <f t="array" ref="U219">Common_InputFunctions.Utility_DisplayArrayInTable(Fertiliser_SourceData.Fertiliser_Products_Data5(),FertiliserProducts[[#Headers],[Company]], 121)</f>
        <v>Sulfur - Generic</v>
      </c>
      <c r="V219" s="192" cm="1">
        <f t="array" ref="V219">Common_InputFunctions.Utility_DisplayArrayInTable(Fertiliser_SourceData.Fertiliser_Products_Data5(),FertiliserProducts[[#Headers],[Company]], 121)</f>
        <v>0.15</v>
      </c>
      <c r="W219" s="192" t="str" cm="1">
        <f t="array" ref="W219">Common_InputFunctions.Utility_DisplayArrayInTable(Fertiliser_SourceData.Fertiliser_Products_Data5(),FertiliserProducts[[#Headers],[Company]], 121)</f>
        <v/>
      </c>
      <c r="X219" s="192" t="str" cm="1">
        <f t="array" ref="X219">Common_InputFunctions.Utility_DisplayArrayInTable(Fertiliser_SourceData.Fertiliser_Products_Data5(),FertiliserProducts[[#Headers],[Company]], 121)</f>
        <v/>
      </c>
      <c r="Y219" s="192" t="str" cm="1">
        <f t="array" ref="Y219">Common_InputFunctions.Utility_DisplayArrayInTable(Fertiliser_SourceData.Fertiliser_Products_Data5(),FertiliserProducts[[#Headers],[Company]], 121)</f>
        <v/>
      </c>
      <c r="Z219" s="192" t="str" cm="1">
        <f t="array" ref="Z219">Common_InputFunctions.Utility_DisplayArrayInTable(Fertiliser_SourceData.Fertiliser_Products_Data5(),FertiliserProducts[[#Headers],[Company]], 121)</f>
        <v/>
      </c>
      <c r="AA219" s="192" t="str" cm="1">
        <f t="array" ref="AA219">Common_InputFunctions.Utility_DisplayArrayInTable(Fertiliser_SourceData.Fertiliser_Products_Data5(),FertiliserProducts[[#Headers],[Company]], 121)</f>
        <v/>
      </c>
      <c r="AB219" s="192" t="str" cm="1">
        <f t="array" ref="AB219">Common_InputFunctions.Utility_DisplayArrayInTable(Fertiliser_SourceData.Fertiliser_Products_Data5(),FertiliserProducts[[#Headers],[Company]], 121)</f>
        <v/>
      </c>
      <c r="AC219" s="192" t="str" cm="1">
        <f t="array" ref="AC219">Common_InputFunctions.Utility_DisplayArrayInTable(Fertiliser_SourceData.Fertiliser_Products_Data5(),FertiliserProducts[[#Headers],[Company]], 121)</f>
        <v/>
      </c>
      <c r="AD219" s="192" t="str" cm="1">
        <f t="array" ref="AD219">Common_InputFunctions.Utility_DisplayArrayInTable(Fertiliser_SourceData.Fertiliser_Products_Data5(),FertiliserProducts[[#Headers],[Company]], 121)</f>
        <v/>
      </c>
      <c r="AE219" s="192" t="str" cm="1">
        <f t="array" ref="AE219">Common_InputFunctions.Utility_DisplayArrayInTable(Fertiliser_SourceData.Fertiliser_Products_Data5(),FertiliserProducts[[#Headers],[Company]], 121)</f>
        <v/>
      </c>
      <c r="AF219" s="192" t="str" cm="1">
        <f t="array" ref="AF219">Common_InputFunctions.Utility_DisplayArrayInTable(Fertiliser_SourceData.Fertiliser_Products_Data5(),FertiliserProducts[[#Headers],[Company]], 121)</f>
        <v/>
      </c>
      <c r="AG219" s="192" t="str" cm="1">
        <f t="array" ref="AG219">Common_InputFunctions.Utility_DisplayArrayInTable(Fertiliser_SourceData.Fertiliser_Products_Data5(),FertiliserProducts[[#Headers],[Company]], 121)</f>
        <v/>
      </c>
      <c r="AH219" s="192" t="str" cm="1">
        <f t="array" ref="AH219">Common_InputFunctions.Utility_DisplayArrayInTable(Fertiliser_SourceData.Fertiliser_Products_Data5(),FertiliserProducts[[#Headers],[Company]], 121)</f>
        <v/>
      </c>
    </row>
    <row r="220" spans="4:34" x14ac:dyDescent="0.25">
      <c r="D220" s="192" t="str" cm="1">
        <f t="array" ref="D220">Common_InputFunctions.Utility_DisplayArrayInTable(Fertiliser_SourceData.Fertiliser_Products_Data5(),FertiliserProducts[[#Headers],[Company]], 121)</f>
        <v>CSBP</v>
      </c>
      <c r="E220" s="192" t="str" cm="1">
        <f t="array" ref="E220">Common_InputFunctions.Utility_DisplayArrayInTable(Fertiliser_SourceData.Fertiliser_Products_Data5(),FertiliserProducts[[#Headers],[Company]], 121)</f>
        <v>K-Till Extra</v>
      </c>
      <c r="F220" s="192" t="str" cm="1">
        <f t="array" ref="F220">Common_InputFunctions.Utility_DisplayArrayInTable(Fertiliser_SourceData.Fertiliser_Products_Data5(),FertiliserProducts[[#Headers],[Company]], 121)</f>
        <v>kg</v>
      </c>
      <c r="G220" s="192" cm="1">
        <f t="array" ref="G220">Common_InputFunctions.Utility_DisplayArrayInTable(Fertiliser_SourceData.Fertiliser_Products_Data5(),FertiliserProducts[[#Headers],[Company]], 121)</f>
        <v>1</v>
      </c>
      <c r="H220" s="192" t="str" cm="1">
        <f t="array" ref="H220">Common_InputFunctions.Utility_DisplayArrayInTable(Fertiliser_SourceData.Fertiliser_Products_Data5(),FertiliserProducts[[#Headers],[Company]], 121)</f>
        <v/>
      </c>
      <c r="I220" s="192" t="str" cm="1">
        <f t="array" ref="I220">Common_InputFunctions.Utility_DisplayArrayInTable(Fertiliser_SourceData.Fertiliser_Products_Data5(),FertiliserProducts[[#Headers],[Company]], 121)</f>
        <v/>
      </c>
      <c r="J220" s="192" t="str" cm="1">
        <f t="array" ref="J220">Common_InputFunctions.Utility_DisplayArrayInTable(Fertiliser_SourceData.Fertiliser_Products_Data5(),FertiliserProducts[[#Headers],[Company]], 121)</f>
        <v/>
      </c>
      <c r="K220" s="192" cm="1">
        <f t="array" ref="K220">Common_InputFunctions.Utility_DisplayArrayInTable(Fertiliser_SourceData.Fertiliser_Products_Data5(),FertiliserProducts[[#Headers],[Company]], 121)</f>
        <v>10.73</v>
      </c>
      <c r="L220" s="192" cm="1">
        <f t="array" ref="L220">Common_InputFunctions.Utility_DisplayArrayInTable(Fertiliser_SourceData.Fertiliser_Products_Data5(),FertiliserProducts[[#Headers],[Company]], 121)</f>
        <v>10.95</v>
      </c>
      <c r="M220" s="192" cm="1">
        <f t="array" ref="M220">Common_InputFunctions.Utility_DisplayArrayInTable(Fertiliser_SourceData.Fertiliser_Products_Data5(),FertiliserProducts[[#Headers],[Company]], 121)</f>
        <v>11.35</v>
      </c>
      <c r="N220" s="192" cm="1">
        <f t="array" ref="N220">Common_InputFunctions.Utility_DisplayArrayInTable(Fertiliser_SourceData.Fertiliser_Products_Data5(),FertiliserProducts[[#Headers],[Company]], 121)</f>
        <v>6.55</v>
      </c>
      <c r="O220" s="192" t="str" cm="1">
        <f t="array" ref="O220">Common_InputFunctions.Utility_DisplayArrayInTable(Fertiliser_SourceData.Fertiliser_Products_Data5(),FertiliserProducts[[#Headers],[Company]], 121)</f>
        <v>Monoammonium phosphate (MAP)</v>
      </c>
      <c r="P220" s="192" cm="1">
        <f t="array" ref="P220">Common_InputFunctions.Utility_DisplayArrayInTable(Fertiliser_SourceData.Fertiliser_Products_Data5(),FertiliserProducts[[#Headers],[Company]], 121)</f>
        <v>0.5</v>
      </c>
      <c r="Q220" s="192" t="str" cm="1">
        <f t="array" ref="Q220">Common_InputFunctions.Utility_DisplayArrayInTable(Fertiliser_SourceData.Fertiliser_Products_Data5(),FertiliserProducts[[#Headers],[Company]], 121)</f>
        <v>Sulphate of ammonia (SOA)</v>
      </c>
      <c r="R220" s="192" cm="1">
        <f t="array" ref="R220">Common_InputFunctions.Utility_DisplayArrayInTable(Fertiliser_SourceData.Fertiliser_Products_Data5(),FertiliserProducts[[#Headers],[Company]], 121)</f>
        <v>0.27300000000000002</v>
      </c>
      <c r="S220" s="192" t="str" cm="1">
        <f t="array" ref="S220">Common_InputFunctions.Utility_DisplayArrayInTable(Fertiliser_SourceData.Fertiliser_Products_Data5(),FertiliserProducts[[#Headers],[Company]], 121)</f>
        <v>Muriate of potash (MOP)</v>
      </c>
      <c r="T220" s="192" cm="1">
        <f t="array" ref="T220">Common_InputFunctions.Utility_DisplayArrayInTable(Fertiliser_SourceData.Fertiliser_Products_Data5(),FertiliserProducts[[#Headers],[Company]], 121)</f>
        <v>0.22700000000000001</v>
      </c>
      <c r="U220" s="192" t="str" cm="1">
        <f t="array" ref="U220">Common_InputFunctions.Utility_DisplayArrayInTable(Fertiliser_SourceData.Fertiliser_Products_Data5(),FertiliserProducts[[#Headers],[Company]], 121)</f>
        <v>Copper</v>
      </c>
      <c r="V220" s="192" t="str" cm="1">
        <f t="array" ref="V220">Common_InputFunctions.Utility_DisplayArrayInTable(Fertiliser_SourceData.Fertiliser_Products_Data5(),FertiliserProducts[[#Headers],[Company]], 121)</f>
        <v>No data</v>
      </c>
      <c r="W220" s="192" t="str" cm="1">
        <f t="array" ref="W220">Common_InputFunctions.Utility_DisplayArrayInTable(Fertiliser_SourceData.Fertiliser_Products_Data5(),FertiliserProducts[[#Headers],[Company]], 121)</f>
        <v>Zinc</v>
      </c>
      <c r="X220" s="192" t="str" cm="1">
        <f t="array" ref="X220">Common_InputFunctions.Utility_DisplayArrayInTable(Fertiliser_SourceData.Fertiliser_Products_Data5(),FertiliserProducts[[#Headers],[Company]], 121)</f>
        <v>No data</v>
      </c>
      <c r="Y220" s="192" t="str" cm="1">
        <f t="array" ref="Y220">Common_InputFunctions.Utility_DisplayArrayInTable(Fertiliser_SourceData.Fertiliser_Products_Data5(),FertiliserProducts[[#Headers],[Company]], 121)</f>
        <v/>
      </c>
      <c r="Z220" s="192" t="str" cm="1">
        <f t="array" ref="Z220">Common_InputFunctions.Utility_DisplayArrayInTable(Fertiliser_SourceData.Fertiliser_Products_Data5(),FertiliserProducts[[#Headers],[Company]], 121)</f>
        <v/>
      </c>
      <c r="AA220" s="192" t="str" cm="1">
        <f t="array" ref="AA220">Common_InputFunctions.Utility_DisplayArrayInTable(Fertiliser_SourceData.Fertiliser_Products_Data5(),FertiliserProducts[[#Headers],[Company]], 121)</f>
        <v/>
      </c>
      <c r="AB220" s="192" t="str" cm="1">
        <f t="array" ref="AB220">Common_InputFunctions.Utility_DisplayArrayInTable(Fertiliser_SourceData.Fertiliser_Products_Data5(),FertiliserProducts[[#Headers],[Company]], 121)</f>
        <v/>
      </c>
      <c r="AC220" s="192" t="str" cm="1">
        <f t="array" ref="AC220">Common_InputFunctions.Utility_DisplayArrayInTable(Fertiliser_SourceData.Fertiliser_Products_Data5(),FertiliserProducts[[#Headers],[Company]], 121)</f>
        <v/>
      </c>
      <c r="AD220" s="192" t="str" cm="1">
        <f t="array" ref="AD220">Common_InputFunctions.Utility_DisplayArrayInTable(Fertiliser_SourceData.Fertiliser_Products_Data5(),FertiliserProducts[[#Headers],[Company]], 121)</f>
        <v/>
      </c>
      <c r="AE220" s="192" t="str" cm="1">
        <f t="array" ref="AE220">Common_InputFunctions.Utility_DisplayArrayInTable(Fertiliser_SourceData.Fertiliser_Products_Data5(),FertiliserProducts[[#Headers],[Company]], 121)</f>
        <v/>
      </c>
      <c r="AF220" s="192" t="str" cm="1">
        <f t="array" ref="AF220">Common_InputFunctions.Utility_DisplayArrayInTable(Fertiliser_SourceData.Fertiliser_Products_Data5(),FertiliserProducts[[#Headers],[Company]], 121)</f>
        <v/>
      </c>
      <c r="AG220" s="192" t="str" cm="1">
        <f t="array" ref="AG220">Common_InputFunctions.Utility_DisplayArrayInTable(Fertiliser_SourceData.Fertiliser_Products_Data5(),FertiliserProducts[[#Headers],[Company]], 121)</f>
        <v/>
      </c>
      <c r="AH220" s="192" t="str" cm="1">
        <f t="array" ref="AH220">Common_InputFunctions.Utility_DisplayArrayInTable(Fertiliser_SourceData.Fertiliser_Products_Data5(),FertiliserProducts[[#Headers],[Company]], 121)</f>
        <v/>
      </c>
    </row>
    <row r="221" spans="4:34" x14ac:dyDescent="0.25">
      <c r="D221" s="192" t="str" cm="1">
        <f t="array" ref="D221">Common_InputFunctions.Utility_DisplayArrayInTable(Fertiliser_SourceData.Fertiliser_Products_Data5(),FertiliserProducts[[#Headers],[Company]], 121)</f>
        <v>CSBP</v>
      </c>
      <c r="E221" s="192" t="str" cm="1">
        <f t="array" ref="E221">Common_InputFunctions.Utility_DisplayArrayInTable(Fertiliser_SourceData.Fertiliser_Products_Data5(),FertiliserProducts[[#Headers],[Company]], 121)</f>
        <v>Agras Extra</v>
      </c>
      <c r="F221" s="192" t="str" cm="1">
        <f t="array" ref="F221">Common_InputFunctions.Utility_DisplayArrayInTable(Fertiliser_SourceData.Fertiliser_Products_Data5(),FertiliserProducts[[#Headers],[Company]], 121)</f>
        <v>kg</v>
      </c>
      <c r="G221" s="192" cm="1">
        <f t="array" ref="G221">Common_InputFunctions.Utility_DisplayArrayInTable(Fertiliser_SourceData.Fertiliser_Products_Data5(),FertiliserProducts[[#Headers],[Company]], 121)</f>
        <v>1</v>
      </c>
      <c r="H221" s="192" t="str" cm="1">
        <f t="array" ref="H221">Common_InputFunctions.Utility_DisplayArrayInTable(Fertiliser_SourceData.Fertiliser_Products_Data5(),FertiliserProducts[[#Headers],[Company]], 121)</f>
        <v/>
      </c>
      <c r="I221" s="192" t="str" cm="1">
        <f t="array" ref="I221">Common_InputFunctions.Utility_DisplayArrayInTable(Fertiliser_SourceData.Fertiliser_Products_Data5(),FertiliserProducts[[#Headers],[Company]], 121)</f>
        <v/>
      </c>
      <c r="J221" s="192" t="str" cm="1">
        <f t="array" ref="J221">Common_InputFunctions.Utility_DisplayArrayInTable(Fertiliser_SourceData.Fertiliser_Products_Data5(),FertiliserProducts[[#Headers],[Company]], 121)</f>
        <v/>
      </c>
      <c r="K221" s="192" cm="1">
        <f t="array" ref="K221">Common_InputFunctions.Utility_DisplayArrayInTable(Fertiliser_SourceData.Fertiliser_Products_Data5(),FertiliserProducts[[#Headers],[Company]], 121)</f>
        <v>16.95</v>
      </c>
      <c r="L221" s="192" cm="1">
        <f t="array" ref="L221">Common_InputFunctions.Utility_DisplayArrayInTable(Fertiliser_SourceData.Fertiliser_Products_Data5(),FertiliserProducts[[#Headers],[Company]], 121)</f>
        <v>8.06</v>
      </c>
      <c r="M221" s="192" t="str" cm="1">
        <f t="array" ref="M221">Common_InputFunctions.Utility_DisplayArrayInTable(Fertiliser_SourceData.Fertiliser_Products_Data5(),FertiliserProducts[[#Headers],[Company]], 121)</f>
        <v/>
      </c>
      <c r="N221" s="192" cm="1">
        <f t="array" ref="N221">Common_InputFunctions.Utility_DisplayArrayInTable(Fertiliser_SourceData.Fertiliser_Products_Data5(),FertiliserProducts[[#Headers],[Company]], 121)</f>
        <v>15.17</v>
      </c>
      <c r="O221" s="192" t="str" cm="1">
        <f t="array" ref="O221">Common_InputFunctions.Utility_DisplayArrayInTable(Fertiliser_SourceData.Fertiliser_Products_Data5(),FertiliserProducts[[#Headers],[Company]], 121)</f>
        <v>Sulphate of ammonia (SOA)</v>
      </c>
      <c r="P221" s="192" cm="1">
        <f t="array" ref="P221">Common_InputFunctions.Utility_DisplayArrayInTable(Fertiliser_SourceData.Fertiliser_Products_Data5(),FertiliserProducts[[#Headers],[Company]], 121)</f>
        <v>0.63200000000000001</v>
      </c>
      <c r="Q221" s="192" t="str" cm="1">
        <f t="array" ref="Q221">Common_InputFunctions.Utility_DisplayArrayInTable(Fertiliser_SourceData.Fertiliser_Products_Data5(),FertiliserProducts[[#Headers],[Company]], 121)</f>
        <v>Monoammonium phosphate (MAP)</v>
      </c>
      <c r="R221" s="192" cm="1">
        <f t="array" ref="R221">Common_InputFunctions.Utility_DisplayArrayInTable(Fertiliser_SourceData.Fertiliser_Products_Data5(),FertiliserProducts[[#Headers],[Company]], 121)</f>
        <v>0.36799999999999999</v>
      </c>
      <c r="S221" s="192" t="str" cm="1">
        <f t="array" ref="S221">Common_InputFunctions.Utility_DisplayArrayInTable(Fertiliser_SourceData.Fertiliser_Products_Data5(),FertiliserProducts[[#Headers],[Company]], 121)</f>
        <v>Zinc</v>
      </c>
      <c r="T221" s="192" t="str" cm="1">
        <f t="array" ref="T221">Common_InputFunctions.Utility_DisplayArrayInTable(Fertiliser_SourceData.Fertiliser_Products_Data5(),FertiliserProducts[[#Headers],[Company]], 121)</f>
        <v>No data</v>
      </c>
      <c r="U221" s="192" t="str" cm="1">
        <f t="array" ref="U221">Common_InputFunctions.Utility_DisplayArrayInTable(Fertiliser_SourceData.Fertiliser_Products_Data5(),FertiliserProducts[[#Headers],[Company]], 121)</f>
        <v>Copper</v>
      </c>
      <c r="V221" s="192" t="str" cm="1">
        <f t="array" ref="V221">Common_InputFunctions.Utility_DisplayArrayInTable(Fertiliser_SourceData.Fertiliser_Products_Data5(),FertiliserProducts[[#Headers],[Company]], 121)</f>
        <v>No data</v>
      </c>
      <c r="W221" s="192" t="str" cm="1">
        <f t="array" ref="W221">Common_InputFunctions.Utility_DisplayArrayInTable(Fertiliser_SourceData.Fertiliser_Products_Data5(),FertiliserProducts[[#Headers],[Company]], 121)</f>
        <v>Molybdenum</v>
      </c>
      <c r="X221" s="192" t="str" cm="1">
        <f t="array" ref="X221">Common_InputFunctions.Utility_DisplayArrayInTable(Fertiliser_SourceData.Fertiliser_Products_Data5(),FertiliserProducts[[#Headers],[Company]], 121)</f>
        <v>No data</v>
      </c>
      <c r="Y221" s="192" t="str" cm="1">
        <f t="array" ref="Y221">Common_InputFunctions.Utility_DisplayArrayInTable(Fertiliser_SourceData.Fertiliser_Products_Data5(),FertiliserProducts[[#Headers],[Company]], 121)</f>
        <v>Cobalt</v>
      </c>
      <c r="Z221" s="192" t="str" cm="1">
        <f t="array" ref="Z221">Common_InputFunctions.Utility_DisplayArrayInTable(Fertiliser_SourceData.Fertiliser_Products_Data5(),FertiliserProducts[[#Headers],[Company]], 121)</f>
        <v>No data</v>
      </c>
      <c r="AA221" s="192" t="str" cm="1">
        <f t="array" ref="AA221">Common_InputFunctions.Utility_DisplayArrayInTable(Fertiliser_SourceData.Fertiliser_Products_Data5(),FertiliserProducts[[#Headers],[Company]], 121)</f>
        <v/>
      </c>
      <c r="AB221" s="192" t="str" cm="1">
        <f t="array" ref="AB221">Common_InputFunctions.Utility_DisplayArrayInTable(Fertiliser_SourceData.Fertiliser_Products_Data5(),FertiliserProducts[[#Headers],[Company]], 121)</f>
        <v/>
      </c>
      <c r="AC221" s="192" t="str" cm="1">
        <f t="array" ref="AC221">Common_InputFunctions.Utility_DisplayArrayInTable(Fertiliser_SourceData.Fertiliser_Products_Data5(),FertiliserProducts[[#Headers],[Company]], 121)</f>
        <v/>
      </c>
      <c r="AD221" s="192" t="str" cm="1">
        <f t="array" ref="AD221">Common_InputFunctions.Utility_DisplayArrayInTable(Fertiliser_SourceData.Fertiliser_Products_Data5(),FertiliserProducts[[#Headers],[Company]], 121)</f>
        <v/>
      </c>
      <c r="AE221" s="192" t="str" cm="1">
        <f t="array" ref="AE221">Common_InputFunctions.Utility_DisplayArrayInTable(Fertiliser_SourceData.Fertiliser_Products_Data5(),FertiliserProducts[[#Headers],[Company]], 121)</f>
        <v/>
      </c>
      <c r="AF221" s="192" t="str" cm="1">
        <f t="array" ref="AF221">Common_InputFunctions.Utility_DisplayArrayInTable(Fertiliser_SourceData.Fertiliser_Products_Data5(),FertiliserProducts[[#Headers],[Company]], 121)</f>
        <v/>
      </c>
      <c r="AG221" s="192" t="str" cm="1">
        <f t="array" ref="AG221">Common_InputFunctions.Utility_DisplayArrayInTable(Fertiliser_SourceData.Fertiliser_Products_Data5(),FertiliserProducts[[#Headers],[Company]], 121)</f>
        <v/>
      </c>
      <c r="AH221" s="192" t="str" cm="1">
        <f t="array" ref="AH221">Common_InputFunctions.Utility_DisplayArrayInTable(Fertiliser_SourceData.Fertiliser_Products_Data5(),FertiliserProducts[[#Headers],[Company]], 121)</f>
        <v/>
      </c>
    </row>
    <row r="222" spans="4:34" x14ac:dyDescent="0.25">
      <c r="D222" s="192" t="str" cm="1">
        <f t="array" ref="D222">Common_InputFunctions.Utility_DisplayArrayInTable(Fertiliser_SourceData.Fertiliser_Products_Data5(),FertiliserProducts[[#Headers],[Company]], 121)</f>
        <v>CSBP</v>
      </c>
      <c r="E222" s="192" t="str" cm="1">
        <f t="array" ref="E222">Common_InputFunctions.Utility_DisplayArrayInTable(Fertiliser_SourceData.Fertiliser_Products_Data5(),FertiliserProducts[[#Headers],[Company]], 121)</f>
        <v>Super Copper Zinc Moly</v>
      </c>
      <c r="F222" s="192" t="str" cm="1">
        <f t="array" ref="F222">Common_InputFunctions.Utility_DisplayArrayInTable(Fertiliser_SourceData.Fertiliser_Products_Data5(),FertiliserProducts[[#Headers],[Company]], 121)</f>
        <v>kg</v>
      </c>
      <c r="G222" s="192" cm="1">
        <f t="array" ref="G222">Common_InputFunctions.Utility_DisplayArrayInTable(Fertiliser_SourceData.Fertiliser_Products_Data5(),FertiliserProducts[[#Headers],[Company]], 121)</f>
        <v>1</v>
      </c>
      <c r="H222" s="192" t="str" cm="1">
        <f t="array" ref="H222">Common_InputFunctions.Utility_DisplayArrayInTable(Fertiliser_SourceData.Fertiliser_Products_Data5(),FertiliserProducts[[#Headers],[Company]], 121)</f>
        <v/>
      </c>
      <c r="I222" s="192" t="str" cm="1">
        <f t="array" ref="I222">Common_InputFunctions.Utility_DisplayArrayInTable(Fertiliser_SourceData.Fertiliser_Products_Data5(),FertiliserProducts[[#Headers],[Company]], 121)</f>
        <v/>
      </c>
      <c r="J222" s="192" t="str" cm="1">
        <f t="array" ref="J222">Common_InputFunctions.Utility_DisplayArrayInTable(Fertiliser_SourceData.Fertiliser_Products_Data5(),FertiliserProducts[[#Headers],[Company]], 121)</f>
        <v/>
      </c>
      <c r="K222" s="192" t="str" cm="1">
        <f t="array" ref="K222">Common_InputFunctions.Utility_DisplayArrayInTable(Fertiliser_SourceData.Fertiliser_Products_Data5(),FertiliserProducts[[#Headers],[Company]], 121)</f>
        <v/>
      </c>
      <c r="L222" s="192" cm="1">
        <f t="array" ref="L222">Common_InputFunctions.Utility_DisplayArrayInTable(Fertiliser_SourceData.Fertiliser_Products_Data5(),FertiliserProducts[[#Headers],[Company]], 121)</f>
        <v>8.8000000000000007</v>
      </c>
      <c r="M222" s="192" t="str" cm="1">
        <f t="array" ref="M222">Common_InputFunctions.Utility_DisplayArrayInTable(Fertiliser_SourceData.Fertiliser_Products_Data5(),FertiliserProducts[[#Headers],[Company]], 121)</f>
        <v/>
      </c>
      <c r="N222" s="192" cm="1">
        <f t="array" ref="N222">Common_InputFunctions.Utility_DisplayArrayInTable(Fertiliser_SourceData.Fertiliser_Products_Data5(),FertiliserProducts[[#Headers],[Company]], 121)</f>
        <v>11</v>
      </c>
      <c r="O222" s="192" t="str" cm="1">
        <f t="array" ref="O222">Common_InputFunctions.Utility_DisplayArrayInTable(Fertiliser_SourceData.Fertiliser_Products_Data5(),FertiliserProducts[[#Headers],[Company]], 121)</f>
        <v>Single superphosphate (SSP)</v>
      </c>
      <c r="P222" s="192" cm="1">
        <f t="array" ref="P222">Common_InputFunctions.Utility_DisplayArrayInTable(Fertiliser_SourceData.Fertiliser_Products_Data5(),FertiliserProducts[[#Headers],[Company]], 121)</f>
        <v>1</v>
      </c>
      <c r="Q222" s="192" t="str" cm="1">
        <f t="array" ref="Q222">Common_InputFunctions.Utility_DisplayArrayInTable(Fertiliser_SourceData.Fertiliser_Products_Data5(),FertiliserProducts[[#Headers],[Company]], 121)</f>
        <v>Copper</v>
      </c>
      <c r="R222" s="192" cm="1">
        <f t="array" ref="R222">Common_InputFunctions.Utility_DisplayArrayInTable(Fertiliser_SourceData.Fertiliser_Products_Data5(),FertiliserProducts[[#Headers],[Company]], 121)</f>
        <v>6.0000000000000001E-3</v>
      </c>
      <c r="S222" s="192" t="str" cm="1">
        <f t="array" ref="S222">Common_InputFunctions.Utility_DisplayArrayInTable(Fertiliser_SourceData.Fertiliser_Products_Data5(),FertiliserProducts[[#Headers],[Company]], 121)</f>
        <v>Zinc</v>
      </c>
      <c r="T222" s="192" cm="1">
        <f t="array" ref="T222">Common_InputFunctions.Utility_DisplayArrayInTable(Fertiliser_SourceData.Fertiliser_Products_Data5(),FertiliserProducts[[#Headers],[Company]], 121)</f>
        <v>3.0000000000000001E-3</v>
      </c>
      <c r="U222" s="192" t="str" cm="1">
        <f t="array" ref="U222">Common_InputFunctions.Utility_DisplayArrayInTable(Fertiliser_SourceData.Fertiliser_Products_Data5(),FertiliserProducts[[#Headers],[Company]], 121)</f>
        <v>Molybdenum</v>
      </c>
      <c r="V222" s="192" cm="1">
        <f t="array" ref="V222">Common_InputFunctions.Utility_DisplayArrayInTable(Fertiliser_SourceData.Fertiliser_Products_Data5(),FertiliserProducts[[#Headers],[Company]], 121)</f>
        <v>5.9999999999999995E-4</v>
      </c>
      <c r="W222" s="192" t="str" cm="1">
        <f t="array" ref="W222">Common_InputFunctions.Utility_DisplayArrayInTable(Fertiliser_SourceData.Fertiliser_Products_Data5(),FertiliserProducts[[#Headers],[Company]], 121)</f>
        <v/>
      </c>
      <c r="X222" s="192" t="str" cm="1">
        <f t="array" ref="X222">Common_InputFunctions.Utility_DisplayArrayInTable(Fertiliser_SourceData.Fertiliser_Products_Data5(),FertiliserProducts[[#Headers],[Company]], 121)</f>
        <v/>
      </c>
      <c r="Y222" s="192" t="str" cm="1">
        <f t="array" ref="Y222">Common_InputFunctions.Utility_DisplayArrayInTable(Fertiliser_SourceData.Fertiliser_Products_Data5(),FertiliserProducts[[#Headers],[Company]], 121)</f>
        <v/>
      </c>
      <c r="Z222" s="192" t="str" cm="1">
        <f t="array" ref="Z222">Common_InputFunctions.Utility_DisplayArrayInTable(Fertiliser_SourceData.Fertiliser_Products_Data5(),FertiliserProducts[[#Headers],[Company]], 121)</f>
        <v/>
      </c>
      <c r="AA222" s="192" t="str" cm="1">
        <f t="array" ref="AA222">Common_InputFunctions.Utility_DisplayArrayInTable(Fertiliser_SourceData.Fertiliser_Products_Data5(),FertiliserProducts[[#Headers],[Company]], 121)</f>
        <v/>
      </c>
      <c r="AB222" s="192" t="str" cm="1">
        <f t="array" ref="AB222">Common_InputFunctions.Utility_DisplayArrayInTable(Fertiliser_SourceData.Fertiliser_Products_Data5(),FertiliserProducts[[#Headers],[Company]], 121)</f>
        <v/>
      </c>
      <c r="AC222" s="192" t="str" cm="1">
        <f t="array" ref="AC222">Common_InputFunctions.Utility_DisplayArrayInTable(Fertiliser_SourceData.Fertiliser_Products_Data5(),FertiliserProducts[[#Headers],[Company]], 121)</f>
        <v/>
      </c>
      <c r="AD222" s="192" t="str" cm="1">
        <f t="array" ref="AD222">Common_InputFunctions.Utility_DisplayArrayInTable(Fertiliser_SourceData.Fertiliser_Products_Data5(),FertiliserProducts[[#Headers],[Company]], 121)</f>
        <v/>
      </c>
      <c r="AE222" s="192" t="str" cm="1">
        <f t="array" ref="AE222">Common_InputFunctions.Utility_DisplayArrayInTable(Fertiliser_SourceData.Fertiliser_Products_Data5(),FertiliserProducts[[#Headers],[Company]], 121)</f>
        <v/>
      </c>
      <c r="AF222" s="192" t="str" cm="1">
        <f t="array" ref="AF222">Common_InputFunctions.Utility_DisplayArrayInTable(Fertiliser_SourceData.Fertiliser_Products_Data5(),FertiliserProducts[[#Headers],[Company]], 121)</f>
        <v/>
      </c>
      <c r="AG222" s="192" t="str" cm="1">
        <f t="array" ref="AG222">Common_InputFunctions.Utility_DisplayArrayInTable(Fertiliser_SourceData.Fertiliser_Products_Data5(),FertiliserProducts[[#Headers],[Company]], 121)</f>
        <v/>
      </c>
      <c r="AH222" s="192" t="str" cm="1">
        <f t="array" ref="AH222">Common_InputFunctions.Utility_DisplayArrayInTable(Fertiliser_SourceData.Fertiliser_Products_Data5(),FertiliserProducts[[#Headers],[Company]], 121)</f>
        <v/>
      </c>
    </row>
    <row r="223" spans="4:34" x14ac:dyDescent="0.25">
      <c r="D223" s="192" t="str" cm="1">
        <f t="array" ref="D223">Common_InputFunctions.Utility_DisplayArrayInTable(Fertiliser_SourceData.Fertiliser_Products_Data5(),FertiliserProducts[[#Headers],[Company]], 121)</f>
        <v>CSBP</v>
      </c>
      <c r="E223" s="192" t="str" cm="1">
        <f t="array" ref="E223">Common_InputFunctions.Utility_DisplayArrayInTable(Fertiliser_SourceData.Fertiliser_Products_Data5(),FertiliserProducts[[#Headers],[Company]], 121)</f>
        <v>Flexi-N</v>
      </c>
      <c r="F223" s="192" t="str" cm="1">
        <f t="array" ref="F223">Common_InputFunctions.Utility_DisplayArrayInTable(Fertiliser_SourceData.Fertiliser_Products_Data5(),FertiliserProducts[[#Headers],[Company]], 121)</f>
        <v>L</v>
      </c>
      <c r="G223" s="192" cm="1">
        <f t="array" ref="G223">Common_InputFunctions.Utility_DisplayArrayInTable(Fertiliser_SourceData.Fertiliser_Products_Data5(),FertiliserProducts[[#Headers],[Company]], 121)</f>
        <v>1.32</v>
      </c>
      <c r="H223" s="192" t="str" cm="1">
        <f t="array" ref="H223">Common_InputFunctions.Utility_DisplayArrayInTable(Fertiliser_SourceData.Fertiliser_Products_Data5(),FertiliserProducts[[#Headers],[Company]], 121)</f>
        <v/>
      </c>
      <c r="I223" s="192" t="str" cm="1">
        <f t="array" ref="I223">Common_InputFunctions.Utility_DisplayArrayInTable(Fertiliser_SourceData.Fertiliser_Products_Data5(),FertiliserProducts[[#Headers],[Company]], 121)</f>
        <v/>
      </c>
      <c r="J223" s="192" t="str" cm="1">
        <f t="array" ref="J223">Common_InputFunctions.Utility_DisplayArrayInTable(Fertiliser_SourceData.Fertiliser_Products_Data5(),FertiliserProducts[[#Headers],[Company]], 121)</f>
        <v/>
      </c>
      <c r="K223" s="192" cm="1">
        <f t="array" ref="K223">Common_InputFunctions.Utility_DisplayArrayInTable(Fertiliser_SourceData.Fertiliser_Products_Data5(),FertiliserProducts[[#Headers],[Company]], 121)</f>
        <v>32</v>
      </c>
      <c r="L223" s="192" t="str" cm="1">
        <f t="array" ref="L223">Common_InputFunctions.Utility_DisplayArrayInTable(Fertiliser_SourceData.Fertiliser_Products_Data5(),FertiliserProducts[[#Headers],[Company]], 121)</f>
        <v/>
      </c>
      <c r="M223" s="192" t="str" cm="1">
        <f t="array" ref="M223">Common_InputFunctions.Utility_DisplayArrayInTable(Fertiliser_SourceData.Fertiliser_Products_Data5(),FertiliserProducts[[#Headers],[Company]], 121)</f>
        <v/>
      </c>
      <c r="N223" s="192" t="str" cm="1">
        <f t="array" ref="N223">Common_InputFunctions.Utility_DisplayArrayInTable(Fertiliser_SourceData.Fertiliser_Products_Data5(),FertiliserProducts[[#Headers],[Company]], 121)</f>
        <v/>
      </c>
      <c r="O223" s="192" t="str" cm="1">
        <f t="array" ref="O223">Common_InputFunctions.Utility_DisplayArrayInTable(Fertiliser_SourceData.Fertiliser_Products_Data5(),FertiliserProducts[[#Headers],[Company]], 121)</f>
        <v>Urea-ammonium nitrate (UAN)</v>
      </c>
      <c r="P223" s="192" cm="1">
        <f t="array" ref="P223">Common_InputFunctions.Utility_DisplayArrayInTable(Fertiliser_SourceData.Fertiliser_Products_Data5(),FertiliserProducts[[#Headers],[Company]], 121)</f>
        <v>1</v>
      </c>
      <c r="Q223" s="192" t="str" cm="1">
        <f t="array" ref="Q223">Common_InputFunctions.Utility_DisplayArrayInTable(Fertiliser_SourceData.Fertiliser_Products_Data5(),FertiliserProducts[[#Headers],[Company]], 121)</f>
        <v/>
      </c>
      <c r="R223" s="192" t="str" cm="1">
        <f t="array" ref="R223">Common_InputFunctions.Utility_DisplayArrayInTable(Fertiliser_SourceData.Fertiliser_Products_Data5(),FertiliserProducts[[#Headers],[Company]], 121)</f>
        <v/>
      </c>
      <c r="S223" s="192" t="str" cm="1">
        <f t="array" ref="S223">Common_InputFunctions.Utility_DisplayArrayInTable(Fertiliser_SourceData.Fertiliser_Products_Data5(),FertiliserProducts[[#Headers],[Company]], 121)</f>
        <v/>
      </c>
      <c r="T223" s="192" t="str" cm="1">
        <f t="array" ref="T223">Common_InputFunctions.Utility_DisplayArrayInTable(Fertiliser_SourceData.Fertiliser_Products_Data5(),FertiliserProducts[[#Headers],[Company]], 121)</f>
        <v/>
      </c>
      <c r="U223" s="192" t="str" cm="1">
        <f t="array" ref="U223">Common_InputFunctions.Utility_DisplayArrayInTable(Fertiliser_SourceData.Fertiliser_Products_Data5(),FertiliserProducts[[#Headers],[Company]], 121)</f>
        <v/>
      </c>
      <c r="V223" s="192" t="str" cm="1">
        <f t="array" ref="V223">Common_InputFunctions.Utility_DisplayArrayInTable(Fertiliser_SourceData.Fertiliser_Products_Data5(),FertiliserProducts[[#Headers],[Company]], 121)</f>
        <v/>
      </c>
      <c r="W223" s="192" t="str" cm="1">
        <f t="array" ref="W223">Common_InputFunctions.Utility_DisplayArrayInTable(Fertiliser_SourceData.Fertiliser_Products_Data5(),FertiliserProducts[[#Headers],[Company]], 121)</f>
        <v/>
      </c>
      <c r="X223" s="192" t="str" cm="1">
        <f t="array" ref="X223">Common_InputFunctions.Utility_DisplayArrayInTable(Fertiliser_SourceData.Fertiliser_Products_Data5(),FertiliserProducts[[#Headers],[Company]], 121)</f>
        <v/>
      </c>
      <c r="Y223" s="192" t="str" cm="1">
        <f t="array" ref="Y223">Common_InputFunctions.Utility_DisplayArrayInTable(Fertiliser_SourceData.Fertiliser_Products_Data5(),FertiliserProducts[[#Headers],[Company]], 121)</f>
        <v/>
      </c>
      <c r="Z223" s="192" t="str" cm="1">
        <f t="array" ref="Z223">Common_InputFunctions.Utility_DisplayArrayInTable(Fertiliser_SourceData.Fertiliser_Products_Data5(),FertiliserProducts[[#Headers],[Company]], 121)</f>
        <v/>
      </c>
      <c r="AA223" s="192" t="str" cm="1">
        <f t="array" ref="AA223">Common_InputFunctions.Utility_DisplayArrayInTable(Fertiliser_SourceData.Fertiliser_Products_Data5(),FertiliserProducts[[#Headers],[Company]], 121)</f>
        <v/>
      </c>
      <c r="AB223" s="192" t="str" cm="1">
        <f t="array" ref="AB223">Common_InputFunctions.Utility_DisplayArrayInTable(Fertiliser_SourceData.Fertiliser_Products_Data5(),FertiliserProducts[[#Headers],[Company]], 121)</f>
        <v/>
      </c>
      <c r="AC223" s="192" t="str" cm="1">
        <f t="array" ref="AC223">Common_InputFunctions.Utility_DisplayArrayInTable(Fertiliser_SourceData.Fertiliser_Products_Data5(),FertiliserProducts[[#Headers],[Company]], 121)</f>
        <v/>
      </c>
      <c r="AD223" s="192" t="str" cm="1">
        <f t="array" ref="AD223">Common_InputFunctions.Utility_DisplayArrayInTable(Fertiliser_SourceData.Fertiliser_Products_Data5(),FertiliserProducts[[#Headers],[Company]], 121)</f>
        <v/>
      </c>
      <c r="AE223" s="192" t="str" cm="1">
        <f t="array" ref="AE223">Common_InputFunctions.Utility_DisplayArrayInTable(Fertiliser_SourceData.Fertiliser_Products_Data5(),FertiliserProducts[[#Headers],[Company]], 121)</f>
        <v/>
      </c>
      <c r="AF223" s="192" t="str" cm="1">
        <f t="array" ref="AF223">Common_InputFunctions.Utility_DisplayArrayInTable(Fertiliser_SourceData.Fertiliser_Products_Data5(),FertiliserProducts[[#Headers],[Company]], 121)</f>
        <v/>
      </c>
      <c r="AG223" s="192" t="str" cm="1">
        <f t="array" ref="AG223">Common_InputFunctions.Utility_DisplayArrayInTable(Fertiliser_SourceData.Fertiliser_Products_Data5(),FertiliserProducts[[#Headers],[Company]], 121)</f>
        <v/>
      </c>
      <c r="AH223" s="192"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6D20-9AA2-4EC1-B2C9-04BFC5E4CA16}">
  <sheetPr>
    <tabColor theme="2" tint="-0.499984740745262"/>
  </sheetPr>
  <dimension ref="A1:AI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920</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84"/>
      <c r="F5" s="184"/>
      <c r="G5" s="184"/>
      <c r="H5" s="184"/>
      <c r="I5" s="184"/>
      <c r="J5" s="184"/>
      <c r="K5" s="184"/>
      <c r="L5" s="184"/>
    </row>
    <row r="6" spans="1:35" ht="20.100000000000001" customHeight="1" x14ac:dyDescent="0.25">
      <c r="A6" s="5" t="str">
        <f>HYPERLINK("#'Results'!A1", "Results")</f>
        <v>Results</v>
      </c>
      <c r="D6" s="1" t="str" cm="1">
        <f t="array" ref="D6">Fuel_SourceData.Fuel_Scope1Scope3EmissionFactorsTransport_Description()</f>
        <v>Direct (scope 1) and indirect (scope 3) emission factors for the consumption of transport fuels in different transport equipment</v>
      </c>
      <c r="E6" s="184"/>
      <c r="F6" s="184"/>
      <c r="G6" s="184"/>
      <c r="H6" s="184"/>
      <c r="I6" s="184"/>
      <c r="J6" s="184"/>
      <c r="K6" s="184"/>
      <c r="L6" s="184"/>
    </row>
    <row r="7" spans="1:35" ht="20.100000000000001" customHeight="1" x14ac:dyDescent="0.25">
      <c r="D7" s="17" t="str" cm="1">
        <f t="array" ref="D7">Fuel_SourceData.Fuel_Scope1Scope3EmissionFactorsTransport_Source()</f>
        <v>Australian National Greenhouse Accounts Factors 2025 - Table 9</v>
      </c>
      <c r="E7" s="184"/>
      <c r="F7" s="184"/>
      <c r="G7" s="184"/>
      <c r="H7" s="184"/>
      <c r="I7" s="184"/>
      <c r="J7" s="184"/>
      <c r="K7" s="184"/>
      <c r="L7" s="184"/>
    </row>
    <row r="8" spans="1:35" ht="20.100000000000001" customHeight="1" x14ac:dyDescent="0.25">
      <c r="D8" s="25" t="str" cm="1">
        <f t="array" ref="D8">"⚠️" &amp; Fuel_SourceData.Fuel_Scope1Scope3EmissionFactorsTransport_Variation()</f>
        <v>⚠️VARIATION OF SOURCE DATA: 'NE' values returned as zero for calculations.</v>
      </c>
      <c r="E8" s="184"/>
      <c r="F8" s="184"/>
      <c r="G8" s="184"/>
      <c r="H8" s="184"/>
      <c r="I8" s="184"/>
      <c r="J8" s="184"/>
      <c r="K8" s="184"/>
      <c r="L8" s="184"/>
    </row>
    <row r="9" spans="1:35" ht="20.100000000000001" customHeight="1" x14ac:dyDescent="0.25">
      <c r="A9" s="7" t="s">
        <v>0</v>
      </c>
      <c r="D9" s="233" t="s">
        <v>921</v>
      </c>
      <c r="E9" s="233" t="s">
        <v>922</v>
      </c>
      <c r="F9" s="233" t="s">
        <v>923</v>
      </c>
      <c r="G9" s="233" t="s">
        <v>924</v>
      </c>
      <c r="H9" s="233" t="s">
        <v>925</v>
      </c>
      <c r="I9" s="233" t="s">
        <v>926</v>
      </c>
      <c r="J9" s="233" t="s">
        <v>927</v>
      </c>
      <c r="K9" s="233" t="s">
        <v>928</v>
      </c>
      <c r="L9" s="233" t="s">
        <v>929</v>
      </c>
    </row>
    <row r="10" spans="1:35" ht="20.100000000000001" customHeight="1" x14ac:dyDescent="0.25">
      <c r="A10" s="5" t="str">
        <f>HYPERLINK("#'Input - Enterprise'!A1", "Enterprise")</f>
        <v>Enterprise</v>
      </c>
      <c r="D10" s="234" t="str" cm="1">
        <f t="array" ref="D10">Common_InputFunctions.Utility_DisplayArrayInTable(Fuel_SourceData.Fuel_Scope1Scope3EmissionFactorsTransport_Data(), Table_Fuel_EFs_Transport[[#Headers],[Transport type]], 0)</f>
        <v>Cars and light commercial vehicles</v>
      </c>
      <c r="E10" s="234" t="str" cm="1">
        <f t="array" ref="E10">Common_InputFunctions.Utility_DisplayArrayInTable(Fuel_SourceData.Fuel_Scope1Scope3EmissionFactorsTransport_Data(), Table_Fuel_EFs_Transport[[#Headers],[Transport type]], 0)</f>
        <v>Gasoline</v>
      </c>
      <c r="F10" s="234" cm="1">
        <f t="array" ref="F10">Common_InputFunctions.Utility_DisplayArrayInTable(Fuel_SourceData.Fuel_Scope1Scope3EmissionFactorsTransport_Data(), Table_Fuel_EFs_Transport[[#Headers],[Transport type]], 0)</f>
        <v>34.200000000000003</v>
      </c>
      <c r="G10" s="234" t="str" cm="1">
        <f t="array" ref="G10">Common_InputFunctions.Utility_DisplayArrayInTable(Fuel_SourceData.Fuel_Scope1Scope3EmissionFactorsTransport_Data(), Table_Fuel_EFs_Transport[[#Headers],[Transport type]], 0)</f>
        <v>kl</v>
      </c>
      <c r="H10" s="234" cm="1">
        <f t="array" ref="H10">Common_InputFunctions.Utility_DisplayArrayInTable(Fuel_SourceData.Fuel_Scope1Scope3EmissionFactorsTransport_Data(), Table_Fuel_EFs_Transport[[#Headers],[Transport type]], 0)</f>
        <v>67.400000000000006</v>
      </c>
      <c r="I10" s="234" cm="1">
        <f t="array" ref="I10">Common_InputFunctions.Utility_DisplayArrayInTable(Fuel_SourceData.Fuel_Scope1Scope3EmissionFactorsTransport_Data(), Table_Fuel_EFs_Transport[[#Headers],[Transport type]], 0)</f>
        <v>0.02</v>
      </c>
      <c r="J10" s="234" cm="1">
        <f t="array" ref="J10">Common_InputFunctions.Utility_DisplayArrayInTable(Fuel_SourceData.Fuel_Scope1Scope3EmissionFactorsTransport_Data(), Table_Fuel_EFs_Transport[[#Headers],[Transport type]], 0)</f>
        <v>0.2</v>
      </c>
      <c r="K10" s="234" cm="1">
        <f t="array" ref="K10">Common_InputFunctions.Utility_DisplayArrayInTable(Fuel_SourceData.Fuel_Scope1Scope3EmissionFactorsTransport_Data(), Table_Fuel_EFs_Transport[[#Headers],[Transport type]], 0)</f>
        <v>67.62</v>
      </c>
      <c r="L10" s="234"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Site'!A1", "Site")</f>
        <v>Site</v>
      </c>
      <c r="D11" s="234" t="str" cm="1">
        <f t="array" ref="D11">Common_InputFunctions.Utility_DisplayArrayInTable(Fuel_SourceData.Fuel_Scope1Scope3EmissionFactorsTransport_Data(), Table_Fuel_EFs_Transport[[#Headers],[Transport type]], 0)</f>
        <v>Cars and light commercial vehicles</v>
      </c>
      <c r="E11" s="234" t="str" cm="1">
        <f t="array" ref="E11">Common_InputFunctions.Utility_DisplayArrayInTable(Fuel_SourceData.Fuel_Scope1Scope3EmissionFactorsTransport_Data(), Table_Fuel_EFs_Transport[[#Headers],[Transport type]], 0)</f>
        <v>Diesel oil</v>
      </c>
      <c r="F11" s="234" cm="1">
        <f t="array" ref="F11">Common_InputFunctions.Utility_DisplayArrayInTable(Fuel_SourceData.Fuel_Scope1Scope3EmissionFactorsTransport_Data(), Table_Fuel_EFs_Transport[[#Headers],[Transport type]], 0)</f>
        <v>38.6</v>
      </c>
      <c r="G11" s="234" t="str" cm="1">
        <f t="array" ref="G11">Common_InputFunctions.Utility_DisplayArrayInTable(Fuel_SourceData.Fuel_Scope1Scope3EmissionFactorsTransport_Data(), Table_Fuel_EFs_Transport[[#Headers],[Transport type]], 0)</f>
        <v>kl</v>
      </c>
      <c r="H11" s="234" cm="1">
        <f t="array" ref="H11">Common_InputFunctions.Utility_DisplayArrayInTable(Fuel_SourceData.Fuel_Scope1Scope3EmissionFactorsTransport_Data(), Table_Fuel_EFs_Transport[[#Headers],[Transport type]], 0)</f>
        <v>69.900000000000006</v>
      </c>
      <c r="I11" s="234" cm="1">
        <f t="array" ref="I11">Common_InputFunctions.Utility_DisplayArrayInTable(Fuel_SourceData.Fuel_Scope1Scope3EmissionFactorsTransport_Data(), Table_Fuel_EFs_Transport[[#Headers],[Transport type]], 0)</f>
        <v>0.01</v>
      </c>
      <c r="J11" s="234" cm="1">
        <f t="array" ref="J11">Common_InputFunctions.Utility_DisplayArrayInTable(Fuel_SourceData.Fuel_Scope1Scope3EmissionFactorsTransport_Data(), Table_Fuel_EFs_Transport[[#Headers],[Transport type]], 0)</f>
        <v>0.5</v>
      </c>
      <c r="K11" s="234" cm="1">
        <f t="array" ref="K11">Common_InputFunctions.Utility_DisplayArrayInTable(Fuel_SourceData.Fuel_Scope1Scope3EmissionFactorsTransport_Data(), Table_Fuel_EFs_Transport[[#Headers],[Transport type]], 0)</f>
        <v>70.41</v>
      </c>
      <c r="L11" s="234"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Dairy'!A1", "Dairy")</f>
        <v>Dairy</v>
      </c>
      <c r="D12" s="234" t="str" cm="1">
        <f t="array" ref="D12">Common_InputFunctions.Utility_DisplayArrayInTable(Fuel_SourceData.Fuel_Scope1Scope3EmissionFactorsTransport_Data(), Table_Fuel_EFs_Transport[[#Headers],[Transport type]], 0)</f>
        <v>Cars and light commercial vehicles</v>
      </c>
      <c r="E12" s="234" t="str" cm="1">
        <f t="array" ref="E12">Common_InputFunctions.Utility_DisplayArrayInTable(Fuel_SourceData.Fuel_Scope1Scope3EmissionFactorsTransport_Data(), Table_Fuel_EFs_Transport[[#Headers],[Transport type]], 0)</f>
        <v>Liquefied petroleum gas (LPG)</v>
      </c>
      <c r="F12" s="234" cm="1">
        <f t="array" ref="F12">Common_InputFunctions.Utility_DisplayArrayInTable(Fuel_SourceData.Fuel_Scope1Scope3EmissionFactorsTransport_Data(), Table_Fuel_EFs_Transport[[#Headers],[Transport type]], 0)</f>
        <v>26.2</v>
      </c>
      <c r="G12" s="234" t="str" cm="1">
        <f t="array" ref="G12">Common_InputFunctions.Utility_DisplayArrayInTable(Fuel_SourceData.Fuel_Scope1Scope3EmissionFactorsTransport_Data(), Table_Fuel_EFs_Transport[[#Headers],[Transport type]], 0)</f>
        <v>kl</v>
      </c>
      <c r="H12" s="234" cm="1">
        <f t="array" ref="H12">Common_InputFunctions.Utility_DisplayArrayInTable(Fuel_SourceData.Fuel_Scope1Scope3EmissionFactorsTransport_Data(), Table_Fuel_EFs_Transport[[#Headers],[Transport type]], 0)</f>
        <v>60.2</v>
      </c>
      <c r="I12" s="234" cm="1">
        <f t="array" ref="I12">Common_InputFunctions.Utility_DisplayArrayInTable(Fuel_SourceData.Fuel_Scope1Scope3EmissionFactorsTransport_Data(), Table_Fuel_EFs_Transport[[#Headers],[Transport type]], 0)</f>
        <v>0.5</v>
      </c>
      <c r="J12" s="234" cm="1">
        <f t="array" ref="J12">Common_InputFunctions.Utility_DisplayArrayInTable(Fuel_SourceData.Fuel_Scope1Scope3EmissionFactorsTransport_Data(), Table_Fuel_EFs_Transport[[#Headers],[Transport type]], 0)</f>
        <v>0.3</v>
      </c>
      <c r="K12" s="234" cm="1">
        <f t="array" ref="K12">Common_InputFunctions.Utility_DisplayArrayInTable(Fuel_SourceData.Fuel_Scope1Scope3EmissionFactorsTransport_Data(), Table_Fuel_EFs_Transport[[#Headers],[Transport type]], 0)</f>
        <v>61</v>
      </c>
      <c r="L12" s="234"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Livestock sales'!A1", "Livestock sales")</f>
        <v>Livestock sales</v>
      </c>
      <c r="D13" s="234" t="str" cm="1">
        <f t="array" ref="D13">Common_InputFunctions.Utility_DisplayArrayInTable(Fuel_SourceData.Fuel_Scope1Scope3EmissionFactorsTransport_Data(), Table_Fuel_EFs_Transport[[#Headers],[Transport type]], 0)</f>
        <v>Cars and light commercial vehicles</v>
      </c>
      <c r="E13" s="234" t="str" cm="1">
        <f t="array" ref="E13">Common_InputFunctions.Utility_DisplayArrayInTable(Fuel_SourceData.Fuel_Scope1Scope3EmissionFactorsTransport_Data(), Table_Fuel_EFs_Transport[[#Headers],[Transport type]], 0)</f>
        <v>Fuel oil</v>
      </c>
      <c r="F13" s="234" cm="1">
        <f t="array" ref="F13">Common_InputFunctions.Utility_DisplayArrayInTable(Fuel_SourceData.Fuel_Scope1Scope3EmissionFactorsTransport_Data(), Table_Fuel_EFs_Transport[[#Headers],[Transport type]], 0)</f>
        <v>39.700000000000003</v>
      </c>
      <c r="G13" s="234" t="str" cm="1">
        <f t="array" ref="G13">Common_InputFunctions.Utility_DisplayArrayInTable(Fuel_SourceData.Fuel_Scope1Scope3EmissionFactorsTransport_Data(), Table_Fuel_EFs_Transport[[#Headers],[Transport type]], 0)</f>
        <v>kl</v>
      </c>
      <c r="H13" s="234" cm="1">
        <f t="array" ref="H13">Common_InputFunctions.Utility_DisplayArrayInTable(Fuel_SourceData.Fuel_Scope1Scope3EmissionFactorsTransport_Data(), Table_Fuel_EFs_Transport[[#Headers],[Transport type]], 0)</f>
        <v>73.599999999999994</v>
      </c>
      <c r="I13" s="234" cm="1">
        <f t="array" ref="I13">Common_InputFunctions.Utility_DisplayArrayInTable(Fuel_SourceData.Fuel_Scope1Scope3EmissionFactorsTransport_Data(), Table_Fuel_EFs_Transport[[#Headers],[Transport type]], 0)</f>
        <v>0.08</v>
      </c>
      <c r="J13" s="234" cm="1">
        <f t="array" ref="J13">Common_InputFunctions.Utility_DisplayArrayInTable(Fuel_SourceData.Fuel_Scope1Scope3EmissionFactorsTransport_Data(), Table_Fuel_EFs_Transport[[#Headers],[Transport type]], 0)</f>
        <v>0.5</v>
      </c>
      <c r="K13" s="234" cm="1">
        <f t="array" ref="K13">Common_InputFunctions.Utility_DisplayArrayInTable(Fuel_SourceData.Fuel_Scope1Scope3EmissionFactorsTransport_Data(), Table_Fuel_EFs_Transport[[#Headers],[Transport type]], 0)</f>
        <v>74.180000000000007</v>
      </c>
      <c r="L13" s="234"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Dairy cattle purchases'!A1", "Dairy cattle purchases")</f>
        <v>Dairy cattle purchases</v>
      </c>
      <c r="D14" s="234" t="str" cm="1">
        <f t="array" ref="D14">Common_InputFunctions.Utility_DisplayArrayInTable(Fuel_SourceData.Fuel_Scope1Scope3EmissionFactorsTransport_Data(), Table_Fuel_EFs_Transport[[#Headers],[Transport type]], 0)</f>
        <v>Cars and light commercial vehicles</v>
      </c>
      <c r="E14" s="234" t="str" cm="1">
        <f t="array" ref="E14">Common_InputFunctions.Utility_DisplayArrayInTable(Fuel_SourceData.Fuel_Scope1Scope3EmissionFactorsTransport_Data(), Table_Fuel_EFs_Transport[[#Headers],[Transport type]], 0)</f>
        <v>Ethanol</v>
      </c>
      <c r="F14" s="234" cm="1">
        <f t="array" ref="F14">Common_InputFunctions.Utility_DisplayArrayInTable(Fuel_SourceData.Fuel_Scope1Scope3EmissionFactorsTransport_Data(), Table_Fuel_EFs_Transport[[#Headers],[Transport type]], 0)</f>
        <v>23.4</v>
      </c>
      <c r="G14" s="234" t="str" cm="1">
        <f t="array" ref="G14">Common_InputFunctions.Utility_DisplayArrayInTable(Fuel_SourceData.Fuel_Scope1Scope3EmissionFactorsTransport_Data(), Table_Fuel_EFs_Transport[[#Headers],[Transport type]], 0)</f>
        <v>kl</v>
      </c>
      <c r="H14" s="234" cm="1">
        <f t="array" ref="H14">Common_InputFunctions.Utility_DisplayArrayInTable(Fuel_SourceData.Fuel_Scope1Scope3EmissionFactorsTransport_Data(), Table_Fuel_EFs_Transport[[#Headers],[Transport type]], 0)</f>
        <v>0</v>
      </c>
      <c r="I14" s="234" cm="1">
        <f t="array" ref="I14">Common_InputFunctions.Utility_DisplayArrayInTable(Fuel_SourceData.Fuel_Scope1Scope3EmissionFactorsTransport_Data(), Table_Fuel_EFs_Transport[[#Headers],[Transport type]], 0)</f>
        <v>0.2</v>
      </c>
      <c r="J14" s="234" cm="1">
        <f t="array" ref="J14">Common_InputFunctions.Utility_DisplayArrayInTable(Fuel_SourceData.Fuel_Scope1Scope3EmissionFactorsTransport_Data(), Table_Fuel_EFs_Transport[[#Headers],[Transport type]], 0)</f>
        <v>0.2</v>
      </c>
      <c r="K14" s="234" cm="1">
        <f t="array" ref="K14">Common_InputFunctions.Utility_DisplayArrayInTable(Fuel_SourceData.Fuel_Scope1Scope3EmissionFactorsTransport_Data(), Table_Fuel_EFs_Transport[[#Headers],[Transport type]], 0)</f>
        <v>0.4</v>
      </c>
      <c r="L14" s="234"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Pasture'!A1", "Pasture")</f>
        <v>Pasture</v>
      </c>
      <c r="D15" s="234" t="str" cm="1">
        <f t="array" ref="D15">Common_InputFunctions.Utility_DisplayArrayInTable(Fuel_SourceData.Fuel_Scope1Scope3EmissionFactorsTransport_Data(), Table_Fuel_EFs_Transport[[#Headers],[Transport type]], 0)</f>
        <v>Cars and light commercial vehicles</v>
      </c>
      <c r="E15" s="234" t="str" cm="1">
        <f t="array" ref="E15">Common_InputFunctions.Utility_DisplayArrayInTable(Fuel_SourceData.Fuel_Scope1Scope3EmissionFactorsTransport_Data(), Table_Fuel_EFs_Transport[[#Headers],[Transport type]], 0)</f>
        <v>Biodiesel</v>
      </c>
      <c r="F15" s="234" cm="1">
        <f t="array" ref="F15">Common_InputFunctions.Utility_DisplayArrayInTable(Fuel_SourceData.Fuel_Scope1Scope3EmissionFactorsTransport_Data(), Table_Fuel_EFs_Transport[[#Headers],[Transport type]], 0)</f>
        <v>34.6</v>
      </c>
      <c r="G15" s="234" t="str" cm="1">
        <f t="array" ref="G15">Common_InputFunctions.Utility_DisplayArrayInTable(Fuel_SourceData.Fuel_Scope1Scope3EmissionFactorsTransport_Data(), Table_Fuel_EFs_Transport[[#Headers],[Transport type]], 0)</f>
        <v>kl</v>
      </c>
      <c r="H15" s="234" cm="1">
        <f t="array" ref="H15">Common_InputFunctions.Utility_DisplayArrayInTable(Fuel_SourceData.Fuel_Scope1Scope3EmissionFactorsTransport_Data(), Table_Fuel_EFs_Transport[[#Headers],[Transport type]], 0)</f>
        <v>0</v>
      </c>
      <c r="I15" s="234" cm="1">
        <f t="array" ref="I15">Common_InputFunctions.Utility_DisplayArrayInTable(Fuel_SourceData.Fuel_Scope1Scope3EmissionFactorsTransport_Data(), Table_Fuel_EFs_Transport[[#Headers],[Transport type]], 0)</f>
        <v>0.8</v>
      </c>
      <c r="J15" s="234" cm="1">
        <f t="array" ref="J15">Common_InputFunctions.Utility_DisplayArrayInTable(Fuel_SourceData.Fuel_Scope1Scope3EmissionFactorsTransport_Data(), Table_Fuel_EFs_Transport[[#Headers],[Transport type]], 0)</f>
        <v>1.7</v>
      </c>
      <c r="K15" s="234" cm="1">
        <f t="array" ref="K15">Common_InputFunctions.Utility_DisplayArrayInTable(Fuel_SourceData.Fuel_Scope1Scope3EmissionFactorsTransport_Data(), Table_Fuel_EFs_Transport[[#Headers],[Transport type]], 0)</f>
        <v>2.5</v>
      </c>
      <c r="L15" s="234"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Fert Prod System'!A1", "Fert Prod System")</f>
        <v>Fert Prod System</v>
      </c>
      <c r="D16" s="234" t="str" cm="1">
        <f t="array" ref="D16">Common_InputFunctions.Utility_DisplayArrayInTable(Fuel_SourceData.Fuel_Scope1Scope3EmissionFactorsTransport_Data(), Table_Fuel_EFs_Transport[[#Headers],[Transport type]], 0)</f>
        <v>Cars and light commercial vehicles</v>
      </c>
      <c r="E16" s="234" t="str" cm="1">
        <f t="array" ref="E16">Common_InputFunctions.Utility_DisplayArrayInTable(Fuel_SourceData.Fuel_Scope1Scope3EmissionFactorsTransport_Data(), Table_Fuel_EFs_Transport[[#Headers],[Transport type]], 0)</f>
        <v>Renewable diesel</v>
      </c>
      <c r="F16" s="234" cm="1">
        <f t="array" ref="F16">Common_InputFunctions.Utility_DisplayArrayInTable(Fuel_SourceData.Fuel_Scope1Scope3EmissionFactorsTransport_Data(), Table_Fuel_EFs_Transport[[#Headers],[Transport type]], 0)</f>
        <v>38.6</v>
      </c>
      <c r="G16" s="234" t="str" cm="1">
        <f t="array" ref="G16">Common_InputFunctions.Utility_DisplayArrayInTable(Fuel_SourceData.Fuel_Scope1Scope3EmissionFactorsTransport_Data(), Table_Fuel_EFs_Transport[[#Headers],[Transport type]], 0)</f>
        <v>kl</v>
      </c>
      <c r="H16" s="234" cm="1">
        <f t="array" ref="H16">Common_InputFunctions.Utility_DisplayArrayInTable(Fuel_SourceData.Fuel_Scope1Scope3EmissionFactorsTransport_Data(), Table_Fuel_EFs_Transport[[#Headers],[Transport type]], 0)</f>
        <v>0</v>
      </c>
      <c r="I16" s="234" cm="1">
        <f t="array" ref="I16">Common_InputFunctions.Utility_DisplayArrayInTable(Fuel_SourceData.Fuel_Scope1Scope3EmissionFactorsTransport_Data(), Table_Fuel_EFs_Transport[[#Headers],[Transport type]], 0)</f>
        <v>0.01</v>
      </c>
      <c r="J16" s="234" cm="1">
        <f t="array" ref="J16">Common_InputFunctions.Utility_DisplayArrayInTable(Fuel_SourceData.Fuel_Scope1Scope3EmissionFactorsTransport_Data(), Table_Fuel_EFs_Transport[[#Headers],[Transport type]], 0)</f>
        <v>0.5</v>
      </c>
      <c r="K16" s="234" cm="1">
        <f t="array" ref="K16">Common_InputFunctions.Utility_DisplayArrayInTable(Fuel_SourceData.Fuel_Scope1Scope3EmissionFactorsTransport_Data(), Table_Fuel_EFs_Transport[[#Headers],[Transport type]], 0)</f>
        <v>0.51</v>
      </c>
      <c r="L16" s="234"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Fertiliser'!A1", "Fertiliser")</f>
        <v>Fertiliser</v>
      </c>
      <c r="D17" s="234" t="str" cm="1">
        <f t="array" ref="D17">Common_InputFunctions.Utility_DisplayArrayInTable(Fuel_SourceData.Fuel_Scope1Scope3EmissionFactorsTransport_Data(), Table_Fuel_EFs_Transport[[#Headers],[Transport type]], 0)</f>
        <v>Cars and light commercial vehicles</v>
      </c>
      <c r="E17" s="234" t="str" cm="1">
        <f t="array" ref="E17">Common_InputFunctions.Utility_DisplayArrayInTable(Fuel_SourceData.Fuel_Scope1Scope3EmissionFactorsTransport_Data(), Table_Fuel_EFs_Transport[[#Headers],[Transport type]], 0)</f>
        <v>Other biofuels</v>
      </c>
      <c r="F17" s="234" cm="1">
        <f t="array" ref="F17">Common_InputFunctions.Utility_DisplayArrayInTable(Fuel_SourceData.Fuel_Scope1Scope3EmissionFactorsTransport_Data(), Table_Fuel_EFs_Transport[[#Headers],[Transport type]], 0)</f>
        <v>23.4</v>
      </c>
      <c r="G17" s="234" t="str" cm="1">
        <f t="array" ref="G17">Common_InputFunctions.Utility_DisplayArrayInTable(Fuel_SourceData.Fuel_Scope1Scope3EmissionFactorsTransport_Data(), Table_Fuel_EFs_Transport[[#Headers],[Transport type]], 0)</f>
        <v>kl</v>
      </c>
      <c r="H17" s="234" cm="1">
        <f t="array" ref="H17">Common_InputFunctions.Utility_DisplayArrayInTable(Fuel_SourceData.Fuel_Scope1Scope3EmissionFactorsTransport_Data(), Table_Fuel_EFs_Transport[[#Headers],[Transport type]], 0)</f>
        <v>0</v>
      </c>
      <c r="I17" s="234" cm="1">
        <f t="array" ref="I17">Common_InputFunctions.Utility_DisplayArrayInTable(Fuel_SourceData.Fuel_Scope1Scope3EmissionFactorsTransport_Data(), Table_Fuel_EFs_Transport[[#Headers],[Transport type]], 0)</f>
        <v>0.8</v>
      </c>
      <c r="J17" s="234" cm="1">
        <f t="array" ref="J17">Common_InputFunctions.Utility_DisplayArrayInTable(Fuel_SourceData.Fuel_Scope1Scope3EmissionFactorsTransport_Data(), Table_Fuel_EFs_Transport[[#Headers],[Transport type]], 0)</f>
        <v>1.7</v>
      </c>
      <c r="K17" s="234" cm="1">
        <f t="array" ref="K17">Common_InputFunctions.Utility_DisplayArrayInTable(Fuel_SourceData.Fuel_Scope1Scope3EmissionFactorsTransport_Data(), Table_Fuel_EFs_Transport[[#Headers],[Transport type]], 0)</f>
        <v>2.5</v>
      </c>
      <c r="L17" s="234"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Fuel'!A1", "Fuel")</f>
        <v>Fuel</v>
      </c>
      <c r="D18" s="234" t="str" cm="1">
        <f t="array" ref="D18">Common_InputFunctions.Utility_DisplayArrayInTable(Fuel_SourceData.Fuel_Scope1Scope3EmissionFactorsTransport_Data(), Table_Fuel_EFs_Transport[[#Headers],[Transport type]], 0)</f>
        <v>Light duty vehicles</v>
      </c>
      <c r="E18" s="234" t="str" cm="1">
        <f t="array" ref="E18">Common_InputFunctions.Utility_DisplayArrayInTable(Fuel_SourceData.Fuel_Scope1Scope3EmissionFactorsTransport_Data(), Table_Fuel_EFs_Transport[[#Headers],[Transport type]], 0)</f>
        <v>Compressed natural gas</v>
      </c>
      <c r="F18" s="234" cm="1">
        <f t="array" ref="F18">Common_InputFunctions.Utility_DisplayArrayInTable(Fuel_SourceData.Fuel_Scope1Scope3EmissionFactorsTransport_Data(), Table_Fuel_EFs_Transport[[#Headers],[Transport type]], 0)</f>
        <v>3.9300000000000002E-2</v>
      </c>
      <c r="G18" s="234" t="str" cm="1">
        <f t="array" ref="G18">Common_InputFunctions.Utility_DisplayArrayInTable(Fuel_SourceData.Fuel_Scope1Scope3EmissionFactorsTransport_Data(), Table_Fuel_EFs_Transport[[#Headers],[Transport type]], 0)</f>
        <v>m3</v>
      </c>
      <c r="H18" s="234" cm="1">
        <f t="array" ref="H18">Common_InputFunctions.Utility_DisplayArrayInTable(Fuel_SourceData.Fuel_Scope1Scope3EmissionFactorsTransport_Data(), Table_Fuel_EFs_Transport[[#Headers],[Transport type]], 0)</f>
        <v>51.4</v>
      </c>
      <c r="I18" s="234" cm="1">
        <f t="array" ref="I18">Common_InputFunctions.Utility_DisplayArrayInTable(Fuel_SourceData.Fuel_Scope1Scope3EmissionFactorsTransport_Data(), Table_Fuel_EFs_Transport[[#Headers],[Transport type]], 0)</f>
        <v>7.3</v>
      </c>
      <c r="J18" s="234" cm="1">
        <f t="array" ref="J18">Common_InputFunctions.Utility_DisplayArrayInTable(Fuel_SourceData.Fuel_Scope1Scope3EmissionFactorsTransport_Data(), Table_Fuel_EFs_Transport[[#Headers],[Transport type]], 0)</f>
        <v>0.3</v>
      </c>
      <c r="K18" s="234" cm="1">
        <f t="array" ref="K18">Common_InputFunctions.Utility_DisplayArrayInTable(Fuel_SourceData.Fuel_Scope1Scope3EmissionFactorsTransport_Data(), Table_Fuel_EFs_Transport[[#Headers],[Transport type]], 0)</f>
        <v>59</v>
      </c>
      <c r="L18" s="234"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Electricity'!A1", "Electricity")</f>
        <v>Electricity</v>
      </c>
      <c r="D19" s="234" t="str" cm="1">
        <f t="array" ref="D19">Common_InputFunctions.Utility_DisplayArrayInTable(Fuel_SourceData.Fuel_Scope1Scope3EmissionFactorsTransport_Data(), Table_Fuel_EFs_Transport[[#Headers],[Transport type]], 0)</f>
        <v>Light duty vehicles</v>
      </c>
      <c r="E19" s="234" t="str" cm="1">
        <f t="array" ref="E19">Common_InputFunctions.Utility_DisplayArrayInTable(Fuel_SourceData.Fuel_Scope1Scope3EmissionFactorsTransport_Data(), Table_Fuel_EFs_Transport[[#Headers],[Transport type]], 0)</f>
        <v>Liquefied natural gas</v>
      </c>
      <c r="F19" s="234" cm="1">
        <f t="array" ref="F19">Common_InputFunctions.Utility_DisplayArrayInTable(Fuel_SourceData.Fuel_Scope1Scope3EmissionFactorsTransport_Data(), Table_Fuel_EFs_Transport[[#Headers],[Transport type]], 0)</f>
        <v>25.3</v>
      </c>
      <c r="G19" s="234" t="str" cm="1">
        <f t="array" ref="G19">Common_InputFunctions.Utility_DisplayArrayInTable(Fuel_SourceData.Fuel_Scope1Scope3EmissionFactorsTransport_Data(), Table_Fuel_EFs_Transport[[#Headers],[Transport type]], 0)</f>
        <v>kl</v>
      </c>
      <c r="H19" s="234" cm="1">
        <f t="array" ref="H19">Common_InputFunctions.Utility_DisplayArrayInTable(Fuel_SourceData.Fuel_Scope1Scope3EmissionFactorsTransport_Data(), Table_Fuel_EFs_Transport[[#Headers],[Transport type]], 0)</f>
        <v>51.4</v>
      </c>
      <c r="I19" s="234" cm="1">
        <f t="array" ref="I19">Common_InputFunctions.Utility_DisplayArrayInTable(Fuel_SourceData.Fuel_Scope1Scope3EmissionFactorsTransport_Data(), Table_Fuel_EFs_Transport[[#Headers],[Transport type]], 0)</f>
        <v>7.3</v>
      </c>
      <c r="J19" s="234" cm="1">
        <f t="array" ref="J19">Common_InputFunctions.Utility_DisplayArrayInTable(Fuel_SourceData.Fuel_Scope1Scope3EmissionFactorsTransport_Data(), Table_Fuel_EFs_Transport[[#Headers],[Transport type]], 0)</f>
        <v>0.3</v>
      </c>
      <c r="K19" s="234" cm="1">
        <f t="array" ref="K19">Common_InputFunctions.Utility_DisplayArrayInTable(Fuel_SourceData.Fuel_Scope1Scope3EmissionFactorsTransport_Data(), Table_Fuel_EFs_Transport[[#Headers],[Transport type]], 0)</f>
        <v>59</v>
      </c>
      <c r="L19" s="234"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Common farm inputs'!A1", "Common farm inputs")</f>
        <v>Common farm inputs</v>
      </c>
      <c r="D20" s="234" t="str" cm="1">
        <f t="array" ref="D20">Common_InputFunctions.Utility_DisplayArrayInTable(Fuel_SourceData.Fuel_Scope1Scope3EmissionFactorsTransport_Data(), Table_Fuel_EFs_Transport[[#Headers],[Transport type]], 0)</f>
        <v>Heavy duty vehicles</v>
      </c>
      <c r="E20" s="234" t="str" cm="1">
        <f t="array" ref="E20">Common_InputFunctions.Utility_DisplayArrayInTable(Fuel_SourceData.Fuel_Scope1Scope3EmissionFactorsTransport_Data(), Table_Fuel_EFs_Transport[[#Headers],[Transport type]], 0)</f>
        <v>Compressed natural gas</v>
      </c>
      <c r="F20" s="234" cm="1">
        <f t="array" ref="F20">Common_InputFunctions.Utility_DisplayArrayInTable(Fuel_SourceData.Fuel_Scope1Scope3EmissionFactorsTransport_Data(), Table_Fuel_EFs_Transport[[#Headers],[Transport type]], 0)</f>
        <v>3.9300000000000002E-2</v>
      </c>
      <c r="G20" s="234" t="str" cm="1">
        <f t="array" ref="G20">Common_InputFunctions.Utility_DisplayArrayInTable(Fuel_SourceData.Fuel_Scope1Scope3EmissionFactorsTransport_Data(), Table_Fuel_EFs_Transport[[#Headers],[Transport type]], 0)</f>
        <v>m3</v>
      </c>
      <c r="H20" s="234" cm="1">
        <f t="array" ref="H20">Common_InputFunctions.Utility_DisplayArrayInTable(Fuel_SourceData.Fuel_Scope1Scope3EmissionFactorsTransport_Data(), Table_Fuel_EFs_Transport[[#Headers],[Transport type]], 0)</f>
        <v>51.4</v>
      </c>
      <c r="I20" s="234" cm="1">
        <f t="array" ref="I20">Common_InputFunctions.Utility_DisplayArrayInTable(Fuel_SourceData.Fuel_Scope1Scope3EmissionFactorsTransport_Data(), Table_Fuel_EFs_Transport[[#Headers],[Transport type]], 0)</f>
        <v>2.8</v>
      </c>
      <c r="J20" s="234" cm="1">
        <f t="array" ref="J20">Common_InputFunctions.Utility_DisplayArrayInTable(Fuel_SourceData.Fuel_Scope1Scope3EmissionFactorsTransport_Data(), Table_Fuel_EFs_Transport[[#Headers],[Transport type]], 0)</f>
        <v>0.3</v>
      </c>
      <c r="K20" s="234" cm="1">
        <f t="array" ref="K20">Common_InputFunctions.Utility_DisplayArrayInTable(Fuel_SourceData.Fuel_Scope1Scope3EmissionFactorsTransport_Data(), Table_Fuel_EFs_Transport[[#Headers],[Transport type]], 0)</f>
        <v>54.5</v>
      </c>
      <c r="L20" s="234" cm="1">
        <f t="array" ref="L20">Common_InputFunctions.Utility_DisplayArrayInTable(Fuel_SourceData.Fuel_Scope1Scope3EmissionFactorsTransport_Data(), Table_Fuel_EFs_Transport[[#Headers],[Transport type]], 0)</f>
        <v>18</v>
      </c>
    </row>
    <row r="21" spans="1:12" ht="20.100000000000001" customHeight="1" x14ac:dyDescent="0.25">
      <c r="A21" s="5" t="str">
        <f>HYPERLINK("#'Input - Crop pasture farm input'!A1", "Crop pasture farm input")</f>
        <v>Crop pasture farm input</v>
      </c>
      <c r="D21" s="234" t="str" cm="1">
        <f t="array" ref="D21">Common_InputFunctions.Utility_DisplayArrayInTable(Fuel_SourceData.Fuel_Scope1Scope3EmissionFactorsTransport_Data(), Table_Fuel_EFs_Transport[[#Headers],[Transport type]], 0)</f>
        <v>Heavy duty vehicles</v>
      </c>
      <c r="E21" s="234" t="str" cm="1">
        <f t="array" ref="E21">Common_InputFunctions.Utility_DisplayArrayInTable(Fuel_SourceData.Fuel_Scope1Scope3EmissionFactorsTransport_Data(), Table_Fuel_EFs_Transport[[#Headers],[Transport type]], 0)</f>
        <v>Liquefied natural gas</v>
      </c>
      <c r="F21" s="234" cm="1">
        <f t="array" ref="F21">Common_InputFunctions.Utility_DisplayArrayInTable(Fuel_SourceData.Fuel_Scope1Scope3EmissionFactorsTransport_Data(), Table_Fuel_EFs_Transport[[#Headers],[Transport type]], 0)</f>
        <v>25.3</v>
      </c>
      <c r="G21" s="234" t="str" cm="1">
        <f t="array" ref="G21">Common_InputFunctions.Utility_DisplayArrayInTable(Fuel_SourceData.Fuel_Scope1Scope3EmissionFactorsTransport_Data(), Table_Fuel_EFs_Transport[[#Headers],[Transport type]], 0)</f>
        <v>kl</v>
      </c>
      <c r="H21" s="234" cm="1">
        <f t="array" ref="H21">Common_InputFunctions.Utility_DisplayArrayInTable(Fuel_SourceData.Fuel_Scope1Scope3EmissionFactorsTransport_Data(), Table_Fuel_EFs_Transport[[#Headers],[Transport type]], 0)</f>
        <v>51.4</v>
      </c>
      <c r="I21" s="234" cm="1">
        <f t="array" ref="I21">Common_InputFunctions.Utility_DisplayArrayInTable(Fuel_SourceData.Fuel_Scope1Scope3EmissionFactorsTransport_Data(), Table_Fuel_EFs_Transport[[#Headers],[Transport type]], 0)</f>
        <v>2.8</v>
      </c>
      <c r="J21" s="234" cm="1">
        <f t="array" ref="J21">Common_InputFunctions.Utility_DisplayArrayInTable(Fuel_SourceData.Fuel_Scope1Scope3EmissionFactorsTransport_Data(), Table_Fuel_EFs_Transport[[#Headers],[Transport type]], 0)</f>
        <v>0.3</v>
      </c>
      <c r="K21" s="234" cm="1">
        <f t="array" ref="K21">Common_InputFunctions.Utility_DisplayArrayInTable(Fuel_SourceData.Fuel_Scope1Scope3EmissionFactorsTransport_Data(), Table_Fuel_EFs_Transport[[#Headers],[Transport type]], 0)</f>
        <v>54.5</v>
      </c>
      <c r="L21" s="234" cm="1">
        <f t="array" ref="L21">Common_InputFunctions.Utility_DisplayArrayInTable(Fuel_SourceData.Fuel_Scope1Scope3EmissionFactorsTransport_Data(), Table_Fuel_EFs_Transport[[#Headers],[Transport type]], 0)</f>
        <v>18</v>
      </c>
    </row>
    <row r="22" spans="1:12" ht="20.100000000000001" customHeight="1" x14ac:dyDescent="0.25">
      <c r="A22" s="5" t="str">
        <f>HYPERLINK("#'Input - Livestock farm Inputs'!A1", "Livestock farm Inputs")</f>
        <v>Livestock farm Inputs</v>
      </c>
      <c r="D22" s="234" t="str" cm="1">
        <f t="array" ref="D22">Common_InputFunctions.Utility_DisplayArrayInTable(Fuel_SourceData.Fuel_Scope1Scope3EmissionFactorsTransport_Data(), Table_Fuel_EFs_Transport[[#Headers],[Transport type]], 0)</f>
        <v>Heavy duty vehicles</v>
      </c>
      <c r="E22" s="234" t="str" cm="1">
        <f t="array" ref="E22">Common_InputFunctions.Utility_DisplayArrayInTable(Fuel_SourceData.Fuel_Scope1Scope3EmissionFactorsTransport_Data(), Table_Fuel_EFs_Transport[[#Headers],[Transport type]], 0)</f>
        <v>Diesel oil - Euro iv or higher</v>
      </c>
      <c r="F22" s="234" cm="1">
        <f t="array" ref="F22">Common_InputFunctions.Utility_DisplayArrayInTable(Fuel_SourceData.Fuel_Scope1Scope3EmissionFactorsTransport_Data(), Table_Fuel_EFs_Transport[[#Headers],[Transport type]], 0)</f>
        <v>38.6</v>
      </c>
      <c r="G22" s="234" t="str" cm="1">
        <f t="array" ref="G22">Common_InputFunctions.Utility_DisplayArrayInTable(Fuel_SourceData.Fuel_Scope1Scope3EmissionFactorsTransport_Data(), Table_Fuel_EFs_Transport[[#Headers],[Transport type]], 0)</f>
        <v>kl</v>
      </c>
      <c r="H22" s="234" cm="1">
        <f t="array" ref="H22">Common_InputFunctions.Utility_DisplayArrayInTable(Fuel_SourceData.Fuel_Scope1Scope3EmissionFactorsTransport_Data(), Table_Fuel_EFs_Transport[[#Headers],[Transport type]], 0)</f>
        <v>69.900000000000006</v>
      </c>
      <c r="I22" s="234" cm="1">
        <f t="array" ref="I22">Common_InputFunctions.Utility_DisplayArrayInTable(Fuel_SourceData.Fuel_Scope1Scope3EmissionFactorsTransport_Data(), Table_Fuel_EFs_Transport[[#Headers],[Transport type]], 0)</f>
        <v>7.0000000000000007E-2</v>
      </c>
      <c r="J22" s="234" cm="1">
        <f t="array" ref="J22">Common_InputFunctions.Utility_DisplayArrayInTable(Fuel_SourceData.Fuel_Scope1Scope3EmissionFactorsTransport_Data(), Table_Fuel_EFs_Transport[[#Headers],[Transport type]], 0)</f>
        <v>0.4</v>
      </c>
      <c r="K22" s="234" cm="1">
        <f t="array" ref="K22">Common_InputFunctions.Utility_DisplayArrayInTable(Fuel_SourceData.Fuel_Scope1Scope3EmissionFactorsTransport_Data(), Table_Fuel_EFs_Transport[[#Headers],[Transport type]], 0)</f>
        <v>70.37</v>
      </c>
      <c r="L22" s="234" cm="1">
        <f t="array" ref="L22">Common_InputFunctions.Utility_DisplayArrayInTable(Fuel_SourceData.Fuel_Scope1Scope3EmissionFactorsTransport_Data(), Table_Fuel_EFs_Transport[[#Headers],[Transport type]], 0)</f>
        <v>17.3</v>
      </c>
    </row>
    <row r="23" spans="1:12" ht="20.100000000000001" customHeight="1" x14ac:dyDescent="0.25">
      <c r="A23" s="5" t="str">
        <f>HYPERLINK("#'Input - Freight'!A1", "Freight")</f>
        <v>Freight</v>
      </c>
      <c r="D23" s="234" t="str" cm="1">
        <f t="array" ref="D23">Common_InputFunctions.Utility_DisplayArrayInTable(Fuel_SourceData.Fuel_Scope1Scope3EmissionFactorsTransport_Data(), Table_Fuel_EFs_Transport[[#Headers],[Transport type]], 0)</f>
        <v>Heavy duty vehicles</v>
      </c>
      <c r="E23" s="234" t="str" cm="1">
        <f t="array" ref="E23">Common_InputFunctions.Utility_DisplayArrayInTable(Fuel_SourceData.Fuel_Scope1Scope3EmissionFactorsTransport_Data(), Table_Fuel_EFs_Transport[[#Headers],[Transport type]], 0)</f>
        <v>Diesel oil - Euro iii</v>
      </c>
      <c r="F23" s="234" cm="1">
        <f t="array" ref="F23">Common_InputFunctions.Utility_DisplayArrayInTable(Fuel_SourceData.Fuel_Scope1Scope3EmissionFactorsTransport_Data(), Table_Fuel_EFs_Transport[[#Headers],[Transport type]], 0)</f>
        <v>38.6</v>
      </c>
      <c r="G23" s="234" t="str" cm="1">
        <f t="array" ref="G23">Common_InputFunctions.Utility_DisplayArrayInTable(Fuel_SourceData.Fuel_Scope1Scope3EmissionFactorsTransport_Data(), Table_Fuel_EFs_Transport[[#Headers],[Transport type]], 0)</f>
        <v>kl</v>
      </c>
      <c r="H23" s="234" cm="1">
        <f t="array" ref="H23">Common_InputFunctions.Utility_DisplayArrayInTable(Fuel_SourceData.Fuel_Scope1Scope3EmissionFactorsTransport_Data(), Table_Fuel_EFs_Transport[[#Headers],[Transport type]], 0)</f>
        <v>69.900000000000006</v>
      </c>
      <c r="I23" s="234" cm="1">
        <f t="array" ref="I23">Common_InputFunctions.Utility_DisplayArrayInTable(Fuel_SourceData.Fuel_Scope1Scope3EmissionFactorsTransport_Data(), Table_Fuel_EFs_Transport[[#Headers],[Transport type]], 0)</f>
        <v>0.1</v>
      </c>
      <c r="J23" s="234" cm="1">
        <f t="array" ref="J23">Common_InputFunctions.Utility_DisplayArrayInTable(Fuel_SourceData.Fuel_Scope1Scope3EmissionFactorsTransport_Data(), Table_Fuel_EFs_Transport[[#Headers],[Transport type]], 0)</f>
        <v>0.4</v>
      </c>
      <c r="K23" s="234" cm="1">
        <f t="array" ref="K23">Common_InputFunctions.Utility_DisplayArrayInTable(Fuel_SourceData.Fuel_Scope1Scope3EmissionFactorsTransport_Data(), Table_Fuel_EFs_Transport[[#Headers],[Transport type]], 0)</f>
        <v>70.400000000000006</v>
      </c>
      <c r="L23" s="234"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HYPERLINK("#'Input - Solid waste'!A1", "Solid waste")</f>
        <v>Solid waste</v>
      </c>
      <c r="D24" s="234" t="str" cm="1">
        <f t="array" ref="D24">Common_InputFunctions.Utility_DisplayArrayInTable(Fuel_SourceData.Fuel_Scope1Scope3EmissionFactorsTransport_Data(), Table_Fuel_EFs_Transport[[#Headers],[Transport type]], 0)</f>
        <v>Heavy duty vehicles</v>
      </c>
      <c r="E24" s="234" t="str" cm="1">
        <f t="array" ref="E24">Common_InputFunctions.Utility_DisplayArrayInTable(Fuel_SourceData.Fuel_Scope1Scope3EmissionFactorsTransport_Data(), Table_Fuel_EFs_Transport[[#Headers],[Transport type]], 0)</f>
        <v>Diesel oil - Euro i</v>
      </c>
      <c r="F24" s="234" cm="1">
        <f t="array" ref="F24">Common_InputFunctions.Utility_DisplayArrayInTable(Fuel_SourceData.Fuel_Scope1Scope3EmissionFactorsTransport_Data(), Table_Fuel_EFs_Transport[[#Headers],[Transport type]], 0)</f>
        <v>38.6</v>
      </c>
      <c r="G24" s="234" t="str" cm="1">
        <f t="array" ref="G24">Common_InputFunctions.Utility_DisplayArrayInTable(Fuel_SourceData.Fuel_Scope1Scope3EmissionFactorsTransport_Data(), Table_Fuel_EFs_Transport[[#Headers],[Transport type]], 0)</f>
        <v>kl</v>
      </c>
      <c r="H24" s="234" cm="1">
        <f t="array" ref="H24">Common_InputFunctions.Utility_DisplayArrayInTable(Fuel_SourceData.Fuel_Scope1Scope3EmissionFactorsTransport_Data(), Table_Fuel_EFs_Transport[[#Headers],[Transport type]], 0)</f>
        <v>69.900000000000006</v>
      </c>
      <c r="I24" s="234" cm="1">
        <f t="array" ref="I24">Common_InputFunctions.Utility_DisplayArrayInTable(Fuel_SourceData.Fuel_Scope1Scope3EmissionFactorsTransport_Data(), Table_Fuel_EFs_Transport[[#Headers],[Transport type]], 0)</f>
        <v>0.2</v>
      </c>
      <c r="J24" s="234" cm="1">
        <f t="array" ref="J24">Common_InputFunctions.Utility_DisplayArrayInTable(Fuel_SourceData.Fuel_Scope1Scope3EmissionFactorsTransport_Data(), Table_Fuel_EFs_Transport[[#Headers],[Transport type]], 0)</f>
        <v>0.4</v>
      </c>
      <c r="K24" s="234" cm="1">
        <f t="array" ref="K24">Common_InputFunctions.Utility_DisplayArrayInTable(Fuel_SourceData.Fuel_Scope1Scope3EmissionFactorsTransport_Data(), Table_Fuel_EFs_Transport[[#Headers],[Transport type]], 0)</f>
        <v>70.5</v>
      </c>
      <c r="L24" s="234"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HYPERLINK("#'Input - Manure sent off-site'!A1", "Manure sent off-site")</f>
        <v>Manure sent off-site</v>
      </c>
      <c r="D25" s="234" t="str" cm="1">
        <f t="array" ref="D25">Common_InputFunctions.Utility_DisplayArrayInTable(Fuel_SourceData.Fuel_Scope1Scope3EmissionFactorsTransport_Data(), Table_Fuel_EFs_Transport[[#Headers],[Transport type]], 0)</f>
        <v>Heavy duty vehicles</v>
      </c>
      <c r="E25" s="234" t="str" cm="1">
        <f t="array" ref="E25">Common_InputFunctions.Utility_DisplayArrayInTable(Fuel_SourceData.Fuel_Scope1Scope3EmissionFactorsTransport_Data(), Table_Fuel_EFs_Transport[[#Headers],[Transport type]], 0)</f>
        <v>Renewable diesel – Euro iv or higher</v>
      </c>
      <c r="F25" s="234" cm="1">
        <f t="array" ref="F25">Common_InputFunctions.Utility_DisplayArrayInTable(Fuel_SourceData.Fuel_Scope1Scope3EmissionFactorsTransport_Data(), Table_Fuel_EFs_Transport[[#Headers],[Transport type]], 0)</f>
        <v>38.6</v>
      </c>
      <c r="G25" s="234" t="str" cm="1">
        <f t="array" ref="G25">Common_InputFunctions.Utility_DisplayArrayInTable(Fuel_SourceData.Fuel_Scope1Scope3EmissionFactorsTransport_Data(), Table_Fuel_EFs_Transport[[#Headers],[Transport type]], 0)</f>
        <v>kl</v>
      </c>
      <c r="H25" s="234" cm="1">
        <f t="array" ref="H25">Common_InputFunctions.Utility_DisplayArrayInTable(Fuel_SourceData.Fuel_Scope1Scope3EmissionFactorsTransport_Data(), Table_Fuel_EFs_Transport[[#Headers],[Transport type]], 0)</f>
        <v>0</v>
      </c>
      <c r="I25" s="234" cm="1">
        <f t="array" ref="I25">Common_InputFunctions.Utility_DisplayArrayInTable(Fuel_SourceData.Fuel_Scope1Scope3EmissionFactorsTransport_Data(), Table_Fuel_EFs_Transport[[#Headers],[Transport type]], 0)</f>
        <v>7.0000000000000007E-2</v>
      </c>
      <c r="J25" s="234" cm="1">
        <f t="array" ref="J25">Common_InputFunctions.Utility_DisplayArrayInTable(Fuel_SourceData.Fuel_Scope1Scope3EmissionFactorsTransport_Data(), Table_Fuel_EFs_Transport[[#Headers],[Transport type]], 0)</f>
        <v>0.4</v>
      </c>
      <c r="K25" s="234" cm="1">
        <f t="array" ref="K25">Common_InputFunctions.Utility_DisplayArrayInTable(Fuel_SourceData.Fuel_Scope1Scope3EmissionFactorsTransport_Data(), Table_Fuel_EFs_Transport[[#Headers],[Transport type]], 0)</f>
        <v>0.47</v>
      </c>
      <c r="L25" s="234"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HYPERLINK("#'Input - Data quality'!A1", "Data quality")</f>
        <v>Data quality</v>
      </c>
      <c r="D26" s="234" t="str" cm="1">
        <f t="array" ref="D26">Common_InputFunctions.Utility_DisplayArrayInTable(Fuel_SourceData.Fuel_Scope1Scope3EmissionFactorsTransport_Data(), Table_Fuel_EFs_Transport[[#Headers],[Transport type]], 0)</f>
        <v>Heavy duty vehicles</v>
      </c>
      <c r="E26" s="234" t="str" cm="1">
        <f t="array" ref="E26">Common_InputFunctions.Utility_DisplayArrayInTable(Fuel_SourceData.Fuel_Scope1Scope3EmissionFactorsTransport_Data(), Table_Fuel_EFs_Transport[[#Headers],[Transport type]], 0)</f>
        <v>Renewable diesel – Euro iii</v>
      </c>
      <c r="F26" s="234" cm="1">
        <f t="array" ref="F26">Common_InputFunctions.Utility_DisplayArrayInTable(Fuel_SourceData.Fuel_Scope1Scope3EmissionFactorsTransport_Data(), Table_Fuel_EFs_Transport[[#Headers],[Transport type]], 0)</f>
        <v>38.6</v>
      </c>
      <c r="G26" s="234" t="str" cm="1">
        <f t="array" ref="G26">Common_InputFunctions.Utility_DisplayArrayInTable(Fuel_SourceData.Fuel_Scope1Scope3EmissionFactorsTransport_Data(), Table_Fuel_EFs_Transport[[#Headers],[Transport type]], 0)</f>
        <v>kl</v>
      </c>
      <c r="H26" s="234" cm="1">
        <f t="array" ref="H26">Common_InputFunctions.Utility_DisplayArrayInTable(Fuel_SourceData.Fuel_Scope1Scope3EmissionFactorsTransport_Data(), Table_Fuel_EFs_Transport[[#Headers],[Transport type]], 0)</f>
        <v>0</v>
      </c>
      <c r="I26" s="234" cm="1">
        <f t="array" ref="I26">Common_InputFunctions.Utility_DisplayArrayInTable(Fuel_SourceData.Fuel_Scope1Scope3EmissionFactorsTransport_Data(), Table_Fuel_EFs_Transport[[#Headers],[Transport type]], 0)</f>
        <v>0.1</v>
      </c>
      <c r="J26" s="234" cm="1">
        <f t="array" ref="J26">Common_InputFunctions.Utility_DisplayArrayInTable(Fuel_SourceData.Fuel_Scope1Scope3EmissionFactorsTransport_Data(), Table_Fuel_EFs_Transport[[#Headers],[Transport type]], 0)</f>
        <v>0.4</v>
      </c>
      <c r="K26" s="234" cm="1">
        <f t="array" ref="K26">Common_InputFunctions.Utility_DisplayArrayInTable(Fuel_SourceData.Fuel_Scope1Scope3EmissionFactorsTransport_Data(), Table_Fuel_EFs_Transport[[#Headers],[Transport type]], 0)</f>
        <v>0.5</v>
      </c>
      <c r="L26" s="234" t="str" cm="1">
        <f t="array" ref="L26">Common_InputFunctions.Utility_DisplayArrayInTable(Fuel_SourceData.Fuel_Scope1Scope3EmissionFactorsTransport_Data(), Table_Fuel_EFs_Transport[[#Headers],[Transport type]], 0)</f>
        <v>NE</v>
      </c>
    </row>
    <row r="27" spans="1:12" ht="20.100000000000001" customHeight="1" x14ac:dyDescent="0.25">
      <c r="D27" s="234" t="str" cm="1">
        <f t="array" ref="D27">Common_InputFunctions.Utility_DisplayArrayInTable(Fuel_SourceData.Fuel_Scope1Scope3EmissionFactorsTransport_Data(), Table_Fuel_EFs_Transport[[#Headers],[Transport type]], 0)</f>
        <v>Heavy duty vehicles</v>
      </c>
      <c r="E27" s="234" t="str" cm="1">
        <f t="array" ref="E27">Common_InputFunctions.Utility_DisplayArrayInTable(Fuel_SourceData.Fuel_Scope1Scope3EmissionFactorsTransport_Data(), Table_Fuel_EFs_Transport[[#Headers],[Transport type]], 0)</f>
        <v>Renewable diesel – Euro i</v>
      </c>
      <c r="F27" s="234" cm="1">
        <f t="array" ref="F27">Common_InputFunctions.Utility_DisplayArrayInTable(Fuel_SourceData.Fuel_Scope1Scope3EmissionFactorsTransport_Data(), Table_Fuel_EFs_Transport[[#Headers],[Transport type]], 0)</f>
        <v>38.6</v>
      </c>
      <c r="G27" s="234" t="str" cm="1">
        <f t="array" ref="G27">Common_InputFunctions.Utility_DisplayArrayInTable(Fuel_SourceData.Fuel_Scope1Scope3EmissionFactorsTransport_Data(), Table_Fuel_EFs_Transport[[#Headers],[Transport type]], 0)</f>
        <v>kl</v>
      </c>
      <c r="H27" s="234" cm="1">
        <f t="array" ref="H27">Common_InputFunctions.Utility_DisplayArrayInTable(Fuel_SourceData.Fuel_Scope1Scope3EmissionFactorsTransport_Data(), Table_Fuel_EFs_Transport[[#Headers],[Transport type]], 0)</f>
        <v>0</v>
      </c>
      <c r="I27" s="234" cm="1">
        <f t="array" ref="I27">Common_InputFunctions.Utility_DisplayArrayInTable(Fuel_SourceData.Fuel_Scope1Scope3EmissionFactorsTransport_Data(), Table_Fuel_EFs_Transport[[#Headers],[Transport type]], 0)</f>
        <v>0.2</v>
      </c>
      <c r="J27" s="234" cm="1">
        <f t="array" ref="J27">Common_InputFunctions.Utility_DisplayArrayInTable(Fuel_SourceData.Fuel_Scope1Scope3EmissionFactorsTransport_Data(), Table_Fuel_EFs_Transport[[#Headers],[Transport type]], 0)</f>
        <v>0.4</v>
      </c>
      <c r="K27" s="234" cm="1">
        <f t="array" ref="K27">Common_InputFunctions.Utility_DisplayArrayInTable(Fuel_SourceData.Fuel_Scope1Scope3EmissionFactorsTransport_Data(), Table_Fuel_EFs_Transport[[#Headers],[Transport type]], 0)</f>
        <v>0.6</v>
      </c>
      <c r="L27" s="234" t="str" cm="1">
        <f t="array" ref="L27">Common_InputFunctions.Utility_DisplayArrayInTable(Fuel_SourceData.Fuel_Scope1Scope3EmissionFactorsTransport_Data(), Table_Fuel_EFs_Transport[[#Headers],[Transport type]], 0)</f>
        <v>NE</v>
      </c>
    </row>
    <row r="28" spans="1:12" ht="20.100000000000001" customHeight="1" x14ac:dyDescent="0.25">
      <c r="D28" s="234" t="str" cm="1">
        <f t="array" ref="D28">Common_InputFunctions.Utility_DisplayArrayInTable(Fuel_SourceData.Fuel_Scope1Scope3EmissionFactorsTransport_Data(), Table_Fuel_EFs_Transport[[#Headers],[Transport type]], 0)</f>
        <v>Aviation</v>
      </c>
      <c r="E28" s="234" t="str" cm="1">
        <f t="array" ref="E28">Common_InputFunctions.Utility_DisplayArrayInTable(Fuel_SourceData.Fuel_Scope1Scope3EmissionFactorsTransport_Data(), Table_Fuel_EFs_Transport[[#Headers],[Transport type]], 0)</f>
        <v>Gasoline for use as fuel in an aircraft</v>
      </c>
      <c r="F28" s="234" cm="1">
        <f t="array" ref="F28">Common_InputFunctions.Utility_DisplayArrayInTable(Fuel_SourceData.Fuel_Scope1Scope3EmissionFactorsTransport_Data(), Table_Fuel_EFs_Transport[[#Headers],[Transport type]], 0)</f>
        <v>33.1</v>
      </c>
      <c r="G28" s="234" t="str" cm="1">
        <f t="array" ref="G28">Common_InputFunctions.Utility_DisplayArrayInTable(Fuel_SourceData.Fuel_Scope1Scope3EmissionFactorsTransport_Data(), Table_Fuel_EFs_Transport[[#Headers],[Transport type]], 0)</f>
        <v>kl</v>
      </c>
      <c r="H28" s="234" cm="1">
        <f t="array" ref="H28">Common_InputFunctions.Utility_DisplayArrayInTable(Fuel_SourceData.Fuel_Scope1Scope3EmissionFactorsTransport_Data(), Table_Fuel_EFs_Transport[[#Headers],[Transport type]], 0)</f>
        <v>67</v>
      </c>
      <c r="I28" s="234" cm="1">
        <f t="array" ref="I28">Common_InputFunctions.Utility_DisplayArrayInTable(Fuel_SourceData.Fuel_Scope1Scope3EmissionFactorsTransport_Data(), Table_Fuel_EFs_Transport[[#Headers],[Transport type]], 0)</f>
        <v>0.06</v>
      </c>
      <c r="J28" s="234" cm="1">
        <f t="array" ref="J28">Common_InputFunctions.Utility_DisplayArrayInTable(Fuel_SourceData.Fuel_Scope1Scope3EmissionFactorsTransport_Data(), Table_Fuel_EFs_Transport[[#Headers],[Transport type]], 0)</f>
        <v>0.6</v>
      </c>
      <c r="K28" s="234" cm="1">
        <f t="array" ref="K28">Common_InputFunctions.Utility_DisplayArrayInTable(Fuel_SourceData.Fuel_Scope1Scope3EmissionFactorsTransport_Data(), Table_Fuel_EFs_Transport[[#Headers],[Transport type]], 0)</f>
        <v>67.66</v>
      </c>
      <c r="L28" s="234" cm="1">
        <f t="array" ref="L28">Common_InputFunctions.Utility_DisplayArrayInTable(Fuel_SourceData.Fuel_Scope1Scope3EmissionFactorsTransport_Data(), Table_Fuel_EFs_Transport[[#Headers],[Transport type]], 0)</f>
        <v>18</v>
      </c>
    </row>
    <row r="29" spans="1:12" ht="20.100000000000001" customHeight="1" x14ac:dyDescent="0.25">
      <c r="A29" s="6" t="s">
        <v>2</v>
      </c>
      <c r="D29" s="234" t="str" cm="1">
        <f t="array" ref="D29">Common_InputFunctions.Utility_DisplayArrayInTable(Fuel_SourceData.Fuel_Scope1Scope3EmissionFactorsTransport_Data(), Table_Fuel_EFs_Transport[[#Headers],[Transport type]], 0)</f>
        <v>Aviation</v>
      </c>
      <c r="E29" s="234" t="str" cm="1">
        <f t="array" ref="E29">Common_InputFunctions.Utility_DisplayArrayInTable(Fuel_SourceData.Fuel_Scope1Scope3EmissionFactorsTransport_Data(), Table_Fuel_EFs_Transport[[#Headers],[Transport type]], 0)</f>
        <v>Kerosene for use as fuel in an aircraft</v>
      </c>
      <c r="F29" s="234" cm="1">
        <f t="array" ref="F29">Common_InputFunctions.Utility_DisplayArrayInTable(Fuel_SourceData.Fuel_Scope1Scope3EmissionFactorsTransport_Data(), Table_Fuel_EFs_Transport[[#Headers],[Transport type]], 0)</f>
        <v>36.799999999999997</v>
      </c>
      <c r="G29" s="234" t="str" cm="1">
        <f t="array" ref="G29">Common_InputFunctions.Utility_DisplayArrayInTable(Fuel_SourceData.Fuel_Scope1Scope3EmissionFactorsTransport_Data(), Table_Fuel_EFs_Transport[[#Headers],[Transport type]], 0)</f>
        <v>kl</v>
      </c>
      <c r="H29" s="234" cm="1">
        <f t="array" ref="H29">Common_InputFunctions.Utility_DisplayArrayInTable(Fuel_SourceData.Fuel_Scope1Scope3EmissionFactorsTransport_Data(), Table_Fuel_EFs_Transport[[#Headers],[Transport type]], 0)</f>
        <v>69.599999999999994</v>
      </c>
      <c r="I29" s="234" cm="1">
        <f t="array" ref="I29">Common_InputFunctions.Utility_DisplayArrayInTable(Fuel_SourceData.Fuel_Scope1Scope3EmissionFactorsTransport_Data(), Table_Fuel_EFs_Transport[[#Headers],[Transport type]], 0)</f>
        <v>0.01</v>
      </c>
      <c r="J29" s="234" cm="1">
        <f t="array" ref="J29">Common_InputFunctions.Utility_DisplayArrayInTable(Fuel_SourceData.Fuel_Scope1Scope3EmissionFactorsTransport_Data(), Table_Fuel_EFs_Transport[[#Headers],[Transport type]], 0)</f>
        <v>0.6</v>
      </c>
      <c r="K29" s="234" cm="1">
        <f t="array" ref="K29">Common_InputFunctions.Utility_DisplayArrayInTable(Fuel_SourceData.Fuel_Scope1Scope3EmissionFactorsTransport_Data(), Table_Fuel_EFs_Transport[[#Headers],[Transport type]], 0)</f>
        <v>70.209999999999994</v>
      </c>
      <c r="L29" s="234"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HYPERLINK("#'3.3.1.1-2 Enteric Methane'!A1", "3.3.1.1-2 Enteric methane")</f>
        <v>3.3.1.1-2 Enteric methane</v>
      </c>
      <c r="D30" s="234" t="str" cm="1">
        <f t="array" ref="D30">Common_InputFunctions.Utility_DisplayArrayInTable(Fuel_SourceData.Fuel_Scope1Scope3EmissionFactorsTransport_Data(), Table_Fuel_EFs_Transport[[#Headers],[Transport type]], 0)</f>
        <v>Aviation</v>
      </c>
      <c r="E30" s="234" t="str" cm="1">
        <f t="array" ref="E30">Common_InputFunctions.Utility_DisplayArrayInTable(Fuel_SourceData.Fuel_Scope1Scope3EmissionFactorsTransport_Data(), Table_Fuel_EFs_Transport[[#Headers],[Transport type]], 0)</f>
        <v>Renewable aviation kerosene</v>
      </c>
      <c r="F30" s="234" cm="1">
        <f t="array" ref="F30">Common_InputFunctions.Utility_DisplayArrayInTable(Fuel_SourceData.Fuel_Scope1Scope3EmissionFactorsTransport_Data(), Table_Fuel_EFs_Transport[[#Headers],[Transport type]], 0)</f>
        <v>36.799999999999997</v>
      </c>
      <c r="G30" s="234" t="str" cm="1">
        <f t="array" ref="G30">Common_InputFunctions.Utility_DisplayArrayInTable(Fuel_SourceData.Fuel_Scope1Scope3EmissionFactorsTransport_Data(), Table_Fuel_EFs_Transport[[#Headers],[Transport type]], 0)</f>
        <v>kl</v>
      </c>
      <c r="H30" s="234" cm="1">
        <f t="array" ref="H30">Common_InputFunctions.Utility_DisplayArrayInTable(Fuel_SourceData.Fuel_Scope1Scope3EmissionFactorsTransport_Data(), Table_Fuel_EFs_Transport[[#Headers],[Transport type]], 0)</f>
        <v>0</v>
      </c>
      <c r="I30" s="234" cm="1">
        <f t="array" ref="I30">Common_InputFunctions.Utility_DisplayArrayInTable(Fuel_SourceData.Fuel_Scope1Scope3EmissionFactorsTransport_Data(), Table_Fuel_EFs_Transport[[#Headers],[Transport type]], 0)</f>
        <v>0.01</v>
      </c>
      <c r="J30" s="234" cm="1">
        <f t="array" ref="J30">Common_InputFunctions.Utility_DisplayArrayInTable(Fuel_SourceData.Fuel_Scope1Scope3EmissionFactorsTransport_Data(), Table_Fuel_EFs_Transport[[#Headers],[Transport type]], 0)</f>
        <v>0.6</v>
      </c>
      <c r="K30" s="234" cm="1">
        <f t="array" ref="K30">Common_InputFunctions.Utility_DisplayArrayInTable(Fuel_SourceData.Fuel_Scope1Scope3EmissionFactorsTransport_Data(), Table_Fuel_EFs_Transport[[#Headers],[Transport type]], 0)</f>
        <v>0.61</v>
      </c>
      <c r="L30" s="234"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HYPERLINK("#'4.3.1.1-2 Methane'!A1", "4.3.1.1-2 Manure methane")</f>
        <v>4.3.1.1-2 Manure methane</v>
      </c>
      <c r="D31" s="234" t="str" cm="1">
        <f t="array" ref="D31">Common_InputFunctions.Utility_DisplayArrayInTable(Fuel_SourceData.Fuel_Scope1Scope3EmissionFactorsTransport_Data(), Table_Fuel_EFs_Transport[[#Headers],[Transport type]], 0)</f>
        <v>Vessels</v>
      </c>
      <c r="E31" s="234" t="str" cm="1">
        <f t="array" ref="E31">Common_InputFunctions.Utility_DisplayArrayInTable(Fuel_SourceData.Fuel_Scope1Scope3EmissionFactorsTransport_Data(), Table_Fuel_EFs_Transport[[#Headers],[Transport type]], 0)</f>
        <v>Gasoline</v>
      </c>
      <c r="F31" s="234" cm="1">
        <f t="array" ref="F31">Common_InputFunctions.Utility_DisplayArrayInTable(Fuel_SourceData.Fuel_Scope1Scope3EmissionFactorsTransport_Data(), Table_Fuel_EFs_Transport[[#Headers],[Transport type]], 0)</f>
        <v>34.200000000000003</v>
      </c>
      <c r="G31" s="234" t="str" cm="1">
        <f t="array" ref="G31">Common_InputFunctions.Utility_DisplayArrayInTable(Fuel_SourceData.Fuel_Scope1Scope3EmissionFactorsTransport_Data(), Table_Fuel_EFs_Transport[[#Headers],[Transport type]], 0)</f>
        <v>kL</v>
      </c>
      <c r="H31" s="234" cm="1">
        <f t="array" ref="H31">Common_InputFunctions.Utility_DisplayArrayInTable(Fuel_SourceData.Fuel_Scope1Scope3EmissionFactorsTransport_Data(), Table_Fuel_EFs_Transport[[#Headers],[Transport type]], 0)</f>
        <v>67.400000000000006</v>
      </c>
      <c r="I31" s="234" cm="1">
        <f t="array" ref="I31">Common_InputFunctions.Utility_DisplayArrayInTable(Fuel_SourceData.Fuel_Scope1Scope3EmissionFactorsTransport_Data(), Table_Fuel_EFs_Transport[[#Headers],[Transport type]], 0)</f>
        <v>10.1</v>
      </c>
      <c r="J31" s="234" cm="1">
        <f t="array" ref="J31">Common_InputFunctions.Utility_DisplayArrayInTable(Fuel_SourceData.Fuel_Scope1Scope3EmissionFactorsTransport_Data(), Table_Fuel_EFs_Transport[[#Headers],[Transport type]], 0)</f>
        <v>0.3</v>
      </c>
      <c r="K31" s="234" t="str" cm="1">
        <f t="array" ref="K31">Common_InputFunctions.Utility_DisplayArrayInTable(Fuel_SourceData.Fuel_Scope1Scope3EmissionFactorsTransport_Data(), Table_Fuel_EFs_Transport[[#Headers],[Transport type]], 0)</f>
        <v/>
      </c>
      <c r="L31" s="234"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HYPERLINK("#'4.3.1.3-4 Direct N20'!A1", "4.3.1.3-4 Direct N20")</f>
        <v>4.3.1.3-4 Direct N20</v>
      </c>
      <c r="D32" s="235" t="str" cm="1">
        <f t="array" ref="D32">Common_InputFunctions.Utility_DisplayArrayInTable(Fuel_SourceData.Fuel_Scope1Scope3EmissionFactorsTransport_Data(), Table_Fuel_EFs_Transport[[#Headers],[Transport type]], 0)</f>
        <v>Vessels</v>
      </c>
      <c r="E32" s="235" t="str" cm="1">
        <f t="array" ref="E32">Common_InputFunctions.Utility_DisplayArrayInTable(Fuel_SourceData.Fuel_Scope1Scope3EmissionFactorsTransport_Data(), Table_Fuel_EFs_Transport[[#Headers],[Transport type]], 0)</f>
        <v>Diesel oil</v>
      </c>
      <c r="F32" s="235" cm="1">
        <f t="array" ref="F32">Common_InputFunctions.Utility_DisplayArrayInTable(Fuel_SourceData.Fuel_Scope1Scope3EmissionFactorsTransport_Data(), Table_Fuel_EFs_Transport[[#Headers],[Transport type]], 0)</f>
        <v>38.6</v>
      </c>
      <c r="G32" s="235" t="str" cm="1">
        <f t="array" ref="G32">Common_InputFunctions.Utility_DisplayArrayInTable(Fuel_SourceData.Fuel_Scope1Scope3EmissionFactorsTransport_Data(), Table_Fuel_EFs_Transport[[#Headers],[Transport type]], 0)</f>
        <v>kL</v>
      </c>
      <c r="H32" s="235" cm="1">
        <f t="array" ref="H32">Common_InputFunctions.Utility_DisplayArrayInTable(Fuel_SourceData.Fuel_Scope1Scope3EmissionFactorsTransport_Data(), Table_Fuel_EFs_Transport[[#Headers],[Transport type]], 0)</f>
        <v>69.900000000000006</v>
      </c>
      <c r="I32" s="235" cm="1">
        <f t="array" ref="I32">Common_InputFunctions.Utility_DisplayArrayInTable(Fuel_SourceData.Fuel_Scope1Scope3EmissionFactorsTransport_Data(), Table_Fuel_EFs_Transport[[#Headers],[Transport type]], 0)</f>
        <v>0.2</v>
      </c>
      <c r="J32" s="235" cm="1">
        <f t="array" ref="J32">Common_InputFunctions.Utility_DisplayArrayInTable(Fuel_SourceData.Fuel_Scope1Scope3EmissionFactorsTransport_Data(), Table_Fuel_EFs_Transport[[#Headers],[Transport type]], 0)</f>
        <v>0.5</v>
      </c>
      <c r="K32" s="235" t="str" cm="1">
        <f t="array" ref="K32">Common_InputFunctions.Utility_DisplayArrayInTable(Fuel_SourceData.Fuel_Scope1Scope3EmissionFactorsTransport_Data(), Table_Fuel_EFs_Transport[[#Headers],[Transport type]], 0)</f>
        <v/>
      </c>
      <c r="L32" s="235"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HYPERLINK("#'4.3.1.5 Atmos deposition'!A1", "4.3.1.5 Atmos deposition")</f>
        <v>4.3.1.5 Atmos deposition</v>
      </c>
      <c r="D33" s="235" t="str" cm="1">
        <f t="array" ref="D33">Common_InputFunctions.Utility_DisplayArrayInTable(Fuel_SourceData.Fuel_Scope1Scope3EmissionFactorsTransport_Data(), Table_Fuel_EFs_Transport[[#Headers],[Transport type]], 0)</f>
        <v>Vessels</v>
      </c>
      <c r="E33" s="235" t="str" cm="1">
        <f t="array" ref="E33">Common_InputFunctions.Utility_DisplayArrayInTable(Fuel_SourceData.Fuel_Scope1Scope3EmissionFactorsTransport_Data(), Table_Fuel_EFs_Transport[[#Headers],[Transport type]], 0)</f>
        <v>Fuel Oil</v>
      </c>
      <c r="F33" s="235" cm="1">
        <f t="array" ref="F33">Common_InputFunctions.Utility_DisplayArrayInTable(Fuel_SourceData.Fuel_Scope1Scope3EmissionFactorsTransport_Data(), Table_Fuel_EFs_Transport[[#Headers],[Transport type]], 0)</f>
        <v>39.700000000000003</v>
      </c>
      <c r="G33" s="235" t="str" cm="1">
        <f t="array" ref="G33">Common_InputFunctions.Utility_DisplayArrayInTable(Fuel_SourceData.Fuel_Scope1Scope3EmissionFactorsTransport_Data(), Table_Fuel_EFs_Transport[[#Headers],[Transport type]], 0)</f>
        <v>kL</v>
      </c>
      <c r="H33" s="235" cm="1">
        <f t="array" ref="H33">Common_InputFunctions.Utility_DisplayArrayInTable(Fuel_SourceData.Fuel_Scope1Scope3EmissionFactorsTransport_Data(), Table_Fuel_EFs_Transport[[#Headers],[Transport type]], 0)</f>
        <v>73.599999999999994</v>
      </c>
      <c r="I33" s="235" cm="1">
        <f t="array" ref="I33">Common_InputFunctions.Utility_DisplayArrayInTable(Fuel_SourceData.Fuel_Scope1Scope3EmissionFactorsTransport_Data(), Table_Fuel_EFs_Transport[[#Headers],[Transport type]], 0)</f>
        <v>0.2</v>
      </c>
      <c r="J33" s="235" cm="1">
        <f t="array" ref="J33">Common_InputFunctions.Utility_DisplayArrayInTable(Fuel_SourceData.Fuel_Scope1Scope3EmissionFactorsTransport_Data(), Table_Fuel_EFs_Transport[[#Headers],[Transport type]], 0)</f>
        <v>0.5</v>
      </c>
      <c r="K33" s="235" t="str" cm="1">
        <f t="array" ref="K33">Common_InputFunctions.Utility_DisplayArrayInTable(Fuel_SourceData.Fuel_Scope1Scope3EmissionFactorsTransport_Data(), Table_Fuel_EFs_Transport[[#Headers],[Transport type]], 0)</f>
        <v/>
      </c>
      <c r="L33" s="235"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HYPERLINK("#'4.3.1.6-7 Leaching and runoff'!A1", "4.3.1.6-7 Leaching &amp; runoff")</f>
        <v>4.3.1.6-7 Leaching &amp; runoff</v>
      </c>
      <c r="D34" s="235" t="str" cm="1">
        <f t="array" ref="D34">Common_InputFunctions.Utility_DisplayArrayInTable(Fuel_SourceData.Fuel_Scope1Scope3EmissionFactorsTransport_Data(), Table_Fuel_EFs_Transport[[#Headers],[Transport type]], 0)</f>
        <v>Off-road Agriculture and forestry equipment</v>
      </c>
      <c r="E34" s="235" t="str" cm="1">
        <f t="array" ref="E34">Common_InputFunctions.Utility_DisplayArrayInTable(Fuel_SourceData.Fuel_Scope1Scope3EmissionFactorsTransport_Data(), Table_Fuel_EFs_Transport[[#Headers],[Transport type]], 0)</f>
        <v>Diesel oil</v>
      </c>
      <c r="F34" s="235" cm="1">
        <f t="array" ref="F34">Common_InputFunctions.Utility_DisplayArrayInTable(Fuel_SourceData.Fuel_Scope1Scope3EmissionFactorsTransport_Data(), Table_Fuel_EFs_Transport[[#Headers],[Transport type]], 0)</f>
        <v>38.6</v>
      </c>
      <c r="G34" s="235" t="str" cm="1">
        <f t="array" ref="G34">Common_InputFunctions.Utility_DisplayArrayInTable(Fuel_SourceData.Fuel_Scope1Scope3EmissionFactorsTransport_Data(), Table_Fuel_EFs_Transport[[#Headers],[Transport type]], 0)</f>
        <v>kL</v>
      </c>
      <c r="H34" s="235" cm="1">
        <f t="array" ref="H34">Common_InputFunctions.Utility_DisplayArrayInTable(Fuel_SourceData.Fuel_Scope1Scope3EmissionFactorsTransport_Data(), Table_Fuel_EFs_Transport[[#Headers],[Transport type]], 0)</f>
        <v>69.900000000000006</v>
      </c>
      <c r="I34" s="235" cm="1">
        <f t="array" ref="I34">Common_InputFunctions.Utility_DisplayArrayInTable(Fuel_SourceData.Fuel_Scope1Scope3EmissionFactorsTransport_Data(), Table_Fuel_EFs_Transport[[#Headers],[Transport type]], 0)</f>
        <v>0.3</v>
      </c>
      <c r="J34" s="235" cm="1">
        <f t="array" ref="J34">Common_InputFunctions.Utility_DisplayArrayInTable(Fuel_SourceData.Fuel_Scope1Scope3EmissionFactorsTransport_Data(), Table_Fuel_EFs_Transport[[#Headers],[Transport type]], 0)</f>
        <v>0.5</v>
      </c>
      <c r="K34" s="235" t="str" cm="1">
        <f t="array" ref="K34">Common_InputFunctions.Utility_DisplayArrayInTable(Fuel_SourceData.Fuel_Scope1Scope3EmissionFactorsTransport_Data(), Table_Fuel_EFs_Transport[[#Headers],[Transport type]], 0)</f>
        <v/>
      </c>
      <c r="L34" s="235"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HYPERLINK("#'4.3.1.8 Manure applied to soils'!A1", "4.3.1.8 Manure applied to soils")</f>
        <v>4.3.1.8 Manure applied to soils</v>
      </c>
    </row>
    <row r="36" spans="1:12" ht="20.100000000000001" customHeight="1" x14ac:dyDescent="0.25">
      <c r="A36" s="5" t="str">
        <f>HYPERLINK("#'4.3.1.9 Soil direct N2O'!A1", "4.3.1.9 Soil direct N2O")</f>
        <v>4.3.1.9 Soil direct N2O</v>
      </c>
    </row>
    <row r="37" spans="1:12" ht="20.100000000000001" customHeight="1" x14ac:dyDescent="0.25">
      <c r="A37" s="5" t="str">
        <f>HYPERLINK("#'4.3.1.10-11 Soil Atmos Dep'!A1", "4.3.1.10-11 Soil Atmos Deposition")</f>
        <v>4.3.1.10-11 Soil Atmos Deposition</v>
      </c>
      <c r="D37" s="2" t="str" cm="1">
        <f t="array" ref="D37">Fuel_SourceData.Fuel_Scope1Scope3EmissionFactorsTransportOffRoad_Title()</f>
        <v>Fuel scope 1 and 3 emission factors - Off-road equipment and vessels</v>
      </c>
    </row>
    <row r="38" spans="1:12" ht="20.100000000000001" customHeight="1" x14ac:dyDescent="0.25">
      <c r="A38" s="5" t="str">
        <f>HYPERLINK("#'4.3.1.12-13 Soil leach runoff'!A1", "4.3.1.12-13 Soil leach &amp; runoff")</f>
        <v>4.3.1.12-13 Soil leach &amp; runoff</v>
      </c>
      <c r="D38" s="17" t="str" cm="1">
        <f t="array" ref="D38">Fuel_SourceData.Fuel_Scope1Scope3EmissionFactorsTransportOffRoad_Source()</f>
        <v>VEERG 2026: Table A.4.2.1</v>
      </c>
    </row>
    <row r="39" spans="1:12" ht="20.100000000000001" customHeight="1" x14ac:dyDescent="0.25">
      <c r="A39" s="5" t="str">
        <f>HYPERLINK("#'5.1.1.1-2 Inorganic fert N2O'!A1", "5.1.1.1-2 Inorganic fert N2O")</f>
        <v>5.1.1.1-2 Inorganic fert N2O</v>
      </c>
      <c r="D39" s="19" t="s">
        <v>930</v>
      </c>
      <c r="E39" s="19" t="s">
        <v>931</v>
      </c>
      <c r="F39" s="19" t="s">
        <v>932</v>
      </c>
      <c r="G39" s="19" t="s">
        <v>933</v>
      </c>
      <c r="H39" s="19" t="s">
        <v>934</v>
      </c>
      <c r="I39" s="19" t="s">
        <v>935</v>
      </c>
      <c r="J39" s="19" t="s">
        <v>936</v>
      </c>
    </row>
    <row r="40" spans="1:12" ht="20.100000000000001" customHeight="1" x14ac:dyDescent="0.25">
      <c r="A40" s="5" t="str">
        <f>HYPERLINK("#'5.1.1.3-4 Inorganic fert CO2'!A1", "5.1.1.3-4 Inorganic fert CO2")</f>
        <v>5.1.1.3-4 Inorganic fert CO2</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5" t="str">
        <f>HYPERLINK("#'5.2.1.1-2 Organic Fert N2O'!A1", "5.2.1.1-2 Organic fert N2O")</f>
        <v>5.2.1.1-2 Organic fert N2O</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HYPERLINK("#'5.3.1.1-2 Lime CO2'!A1", "5.3.1.1-2 Lime CO2")</f>
        <v>5.3.1.1-2 Lime CO2</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HYPERLINK("#'5.4.1.1-4 Atmos deposition'!A1", "5.4.1.1-4 Atmos. deposition")</f>
        <v>5.4.1.1-4 Atmos. deposition</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HYPERLINK("#'5.5.1.1-2 Leaching and runoff'!A1", "5.5.1.1-2 Leaching &amp; runoff")</f>
        <v>5.5.1.1-2 Leaching &amp; runoff</v>
      </c>
    </row>
    <row r="45" spans="1:12" ht="20.100000000000001" customHeight="1" x14ac:dyDescent="0.25">
      <c r="A45" s="5" t="str">
        <f>HYPERLINK("#'6.2.1.1-2 Pasture residue N2O'!A1", "6.2.1.1-2 Pasture residue N2O")</f>
        <v>6.2.1.1-2 Pasture residue N2O</v>
      </c>
    </row>
    <row r="46" spans="1:12" ht="20.100000000000001" customHeight="1" x14ac:dyDescent="0.25">
      <c r="A46" s="5" t="str">
        <f>HYPERLINK("#'6.3.1.1-2 Leach runoff pasture'!A1", "6.3.1.1-2 Leach &amp; runoff (pasture)")</f>
        <v>6.3.1.1-2 Leach &amp; runoff (pasture)</v>
      </c>
    </row>
    <row r="47" spans="1:12" ht="20.100000000000001" customHeight="1" x14ac:dyDescent="0.25">
      <c r="A47" s="5" t="str">
        <f>HYPERLINK("#'8.1.1.1-2 Transport fuel'!A1", "8.1.1.1-2 Transport fuel")</f>
        <v>8.1.1.1-2 Transport fuel</v>
      </c>
    </row>
    <row r="48" spans="1:12" ht="20.100000000000001" customHeight="1" x14ac:dyDescent="0.25">
      <c r="A48" s="5" t="str">
        <f>HYPERLINK("#'8.2.1.1-2 Stationary fuel'!A1", "8.2.1.1-2 Stationary fuel")</f>
        <v>8.2.1.1-2 Stationary fuel</v>
      </c>
    </row>
    <row r="49" spans="1:12" ht="20.100000000000001" customHeight="1" x14ac:dyDescent="0.25">
      <c r="A49" s="5" t="str">
        <f>HYPERLINK("#'10.1.1-2 Solid waste treatment'!A1", "10.1.1.1-2 Solid waste")</f>
        <v>10.1.1.1-2 Solid waste</v>
      </c>
      <c r="D49" s="2" t="str" cm="1">
        <f t="array" ref="D49">Fuel_SourceData.Fuel_Scope1Scope3EmissionFactorsStationaryLiquid_Title()</f>
        <v>Fuel scope 1 and 3 emission factors - Stationary liquid fuels</v>
      </c>
      <c r="E49" s="184"/>
      <c r="F49" s="184"/>
      <c r="G49" s="184"/>
      <c r="H49" s="184"/>
      <c r="I49" s="184"/>
      <c r="J49" s="184"/>
      <c r="K49" s="184"/>
      <c r="L49" s="184"/>
    </row>
    <row r="50" spans="1:12" ht="20.100000000000001" customHeight="1" x14ac:dyDescent="0.25">
      <c r="A50" s="5" t="str">
        <f>HYPERLINK("#'14.1.1-2 Purchased electricity'!A1", "14.1.1-2 Purchased electricity")</f>
        <v>14.1.1-2 Purchased electricity</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84"/>
      <c r="F50" s="184"/>
      <c r="G50" s="184"/>
      <c r="H50" s="184"/>
      <c r="I50" s="184"/>
      <c r="J50" s="184"/>
      <c r="K50" s="184"/>
      <c r="L50" s="184"/>
    </row>
    <row r="51" spans="1:12" ht="20.100000000000001" customHeight="1" x14ac:dyDescent="0.25">
      <c r="A51" s="5" t="str">
        <f>HYPERLINK("#'15 Scope 3'!A1", "15 Scope 3")</f>
        <v>15 Scope 3</v>
      </c>
      <c r="D51" s="17" t="str" cm="1">
        <f t="array" ref="D51">Fuel_SourceData.Fuel_Scope1Scope3EmissionFactorsStationaryLiquid_Source()</f>
        <v>Australian National Greenhouse Accounts Factors 2025 - Table 8</v>
      </c>
      <c r="E51" s="184"/>
      <c r="F51" s="184"/>
      <c r="G51" s="184"/>
      <c r="H51" s="184"/>
      <c r="I51" s="184"/>
      <c r="J51" s="184"/>
      <c r="K51" s="184"/>
      <c r="L51" s="184"/>
    </row>
    <row r="52" spans="1:12" ht="20.100000000000001" customHeight="1" x14ac:dyDescent="0.25">
      <c r="A52" s="5" t="str">
        <f>HYPERLINK("#'Calcs - Manure sent off-site'!A1", "Calcs - Manure sent off-site")</f>
        <v>Calcs - Manure sent off-site</v>
      </c>
      <c r="D52" s="25" t="str" cm="1">
        <f t="array" ref="D52">"⚠️" &amp; Fuel_SourceData.Fuel_Scope1Scope3EmissionFactorsStationaryLiquid_Variation()</f>
        <v>⚠️VARIATION OF SOURCE DATA: 'NE' values returned as zero for calculations.</v>
      </c>
      <c r="E52" s="184"/>
      <c r="F52" s="184"/>
      <c r="G52" s="184"/>
      <c r="H52" s="184"/>
      <c r="I52" s="184"/>
      <c r="J52" s="184"/>
      <c r="K52" s="184"/>
      <c r="L52" s="184"/>
    </row>
    <row r="53" spans="1:12" ht="20.100000000000001" customHeight="1" x14ac:dyDescent="0.25">
      <c r="D53" s="201" t="s">
        <v>922</v>
      </c>
      <c r="E53" s="233" t="s">
        <v>923</v>
      </c>
      <c r="F53" s="201" t="s">
        <v>924</v>
      </c>
      <c r="G53" s="233" t="s">
        <v>925</v>
      </c>
      <c r="H53" s="233" t="s">
        <v>926</v>
      </c>
      <c r="I53" s="233" t="s">
        <v>927</v>
      </c>
      <c r="J53" s="233" t="s">
        <v>928</v>
      </c>
      <c r="K53" s="233" t="s">
        <v>929</v>
      </c>
      <c r="L53" s="184"/>
    </row>
    <row r="54" spans="1:12" ht="20.100000000000001" customHeight="1" x14ac:dyDescent="0.25">
      <c r="D54" s="23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36" cm="1">
        <f t="array" ref="E54">Common_InputFunctions.Utility_DisplayArrayInTable(Fuel_SourceData.Fuel_Scope1Scope3EmissionFactorsStationaryLiquid_Data(), Table_Fuel_EFs_StationaryLiquid[[#Headers],[Fuel combusted]],0)</f>
        <v>38.799999999999997</v>
      </c>
      <c r="F54" s="236" t="str" cm="1">
        <f t="array" ref="F54">Common_InputFunctions.Utility_DisplayArrayInTable(Fuel_SourceData.Fuel_Scope1Scope3EmissionFactorsStationaryLiquid_Data(), Table_Fuel_EFs_StationaryLiquid[[#Headers],[Fuel combusted]],0)</f>
        <v>kl</v>
      </c>
      <c r="G54" s="236" cm="1">
        <f t="array" ref="G54">Common_InputFunctions.Utility_DisplayArrayInTable(Fuel_SourceData.Fuel_Scope1Scope3EmissionFactorsStationaryLiquid_Data(), Table_Fuel_EFs_StationaryLiquid[[#Headers],[Fuel combusted]],0)</f>
        <v>13.9</v>
      </c>
      <c r="H54" s="236" cm="1">
        <f t="array" ref="H54">Common_InputFunctions.Utility_DisplayArrayInTable(Fuel_SourceData.Fuel_Scope1Scope3EmissionFactorsStationaryLiquid_Data(), Table_Fuel_EFs_StationaryLiquid[[#Headers],[Fuel combusted]],0)</f>
        <v>0</v>
      </c>
      <c r="I54" s="236" cm="1">
        <f t="array" ref="I54">Common_InputFunctions.Utility_DisplayArrayInTable(Fuel_SourceData.Fuel_Scope1Scope3EmissionFactorsStationaryLiquid_Data(), Table_Fuel_EFs_StationaryLiquid[[#Headers],[Fuel combusted]],0)</f>
        <v>0</v>
      </c>
      <c r="J54" s="236" cm="1">
        <f t="array" ref="J54">Common_InputFunctions.Utility_DisplayArrayInTable(Fuel_SourceData.Fuel_Scope1Scope3EmissionFactorsStationaryLiquid_Data(), Table_Fuel_EFs_StationaryLiquid[[#Headers],[Fuel combusted]],0)</f>
        <v>13.9</v>
      </c>
      <c r="K54" s="236" cm="1">
        <f t="array" ref="K54">Common_InputFunctions.Utility_DisplayArrayInTable(Fuel_SourceData.Fuel_Scope1Scope3EmissionFactorsStationaryLiquid_Data(), Table_Fuel_EFs_StationaryLiquid[[#Headers],[Fuel combusted]],0)</f>
        <v>18</v>
      </c>
      <c r="L54" s="184"/>
    </row>
    <row r="55" spans="1:12" ht="20.100000000000001" customHeight="1" x14ac:dyDescent="0.25">
      <c r="A55" s="83" t="s">
        <v>1</v>
      </c>
      <c r="D55" s="236" t="str" cm="1">
        <f t="array" ref="D55">Common_InputFunctions.Utility_DisplayArrayInTable(Fuel_SourceData.Fuel_Scope1Scope3EmissionFactorsStationaryLiquid_Data(), Table_Fuel_EFs_StationaryLiquid[[#Headers],[Fuel combusted]],0)</f>
        <v>Petroleum based greases</v>
      </c>
      <c r="E55" s="236" cm="1">
        <f t="array" ref="E55">Common_InputFunctions.Utility_DisplayArrayInTable(Fuel_SourceData.Fuel_Scope1Scope3EmissionFactorsStationaryLiquid_Data(), Table_Fuel_EFs_StationaryLiquid[[#Headers],[Fuel combusted]],0)</f>
        <v>38.799999999999997</v>
      </c>
      <c r="F55" s="236" t="str" cm="1">
        <f t="array" ref="F55">Common_InputFunctions.Utility_DisplayArrayInTable(Fuel_SourceData.Fuel_Scope1Scope3EmissionFactorsStationaryLiquid_Data(), Table_Fuel_EFs_StationaryLiquid[[#Headers],[Fuel combusted]],0)</f>
        <v>kl</v>
      </c>
      <c r="G55" s="236" cm="1">
        <f t="array" ref="G55">Common_InputFunctions.Utility_DisplayArrayInTable(Fuel_SourceData.Fuel_Scope1Scope3EmissionFactorsStationaryLiquid_Data(), Table_Fuel_EFs_StationaryLiquid[[#Headers],[Fuel combusted]],0)</f>
        <v>3.5</v>
      </c>
      <c r="H55" s="236" cm="1">
        <f t="array" ref="H55">Common_InputFunctions.Utility_DisplayArrayInTable(Fuel_SourceData.Fuel_Scope1Scope3EmissionFactorsStationaryLiquid_Data(), Table_Fuel_EFs_StationaryLiquid[[#Headers],[Fuel combusted]],0)</f>
        <v>0</v>
      </c>
      <c r="I55" s="236" cm="1">
        <f t="array" ref="I55">Common_InputFunctions.Utility_DisplayArrayInTable(Fuel_SourceData.Fuel_Scope1Scope3EmissionFactorsStationaryLiquid_Data(), Table_Fuel_EFs_StationaryLiquid[[#Headers],[Fuel combusted]],0)</f>
        <v>0</v>
      </c>
      <c r="J55" s="236" cm="1">
        <f t="array" ref="J55">Common_InputFunctions.Utility_DisplayArrayInTable(Fuel_SourceData.Fuel_Scope1Scope3EmissionFactorsStationaryLiquid_Data(), Table_Fuel_EFs_StationaryLiquid[[#Headers],[Fuel combusted]],0)</f>
        <v>3.5</v>
      </c>
      <c r="K55" s="236" cm="1">
        <f t="array" ref="K55">Common_InputFunctions.Utility_DisplayArrayInTable(Fuel_SourceData.Fuel_Scope1Scope3EmissionFactorsStationaryLiquid_Data(), Table_Fuel_EFs_StationaryLiquid[[#Headers],[Fuel combusted]],0)</f>
        <v>18</v>
      </c>
      <c r="L55" s="184"/>
    </row>
    <row r="56" spans="1:12" ht="20.100000000000001" customHeight="1" x14ac:dyDescent="0.25">
      <c r="A56" s="5" t="str">
        <f>HYPERLINK("#'Constants - Dairy'!A1", "Constants - Dairy")</f>
        <v>Constants - Dairy</v>
      </c>
      <c r="D56" s="236" t="str" cm="1">
        <f t="array" ref="D56">Common_InputFunctions.Utility_DisplayArrayInTable(Fuel_SourceData.Fuel_Scope1Scope3EmissionFactorsStationaryLiquid_Data(), Table_Fuel_EFs_StationaryLiquid[[#Headers],[Fuel combusted]],0)</f>
        <v>Crude oil including crude oil condensates</v>
      </c>
      <c r="E56" s="236" cm="1">
        <f t="array" ref="E56">Common_InputFunctions.Utility_DisplayArrayInTable(Fuel_SourceData.Fuel_Scope1Scope3EmissionFactorsStationaryLiquid_Data(), Table_Fuel_EFs_StationaryLiquid[[#Headers],[Fuel combusted]],0)</f>
        <v>45.3</v>
      </c>
      <c r="F56" s="236" t="str" cm="1">
        <f t="array" ref="F56">Common_InputFunctions.Utility_DisplayArrayInTable(Fuel_SourceData.Fuel_Scope1Scope3EmissionFactorsStationaryLiquid_Data(), Table_Fuel_EFs_StationaryLiquid[[#Headers],[Fuel combusted]],0)</f>
        <v>t</v>
      </c>
      <c r="G56" s="236" cm="1">
        <f t="array" ref="G56">Common_InputFunctions.Utility_DisplayArrayInTable(Fuel_SourceData.Fuel_Scope1Scope3EmissionFactorsStationaryLiquid_Data(), Table_Fuel_EFs_StationaryLiquid[[#Headers],[Fuel combusted]],0)</f>
        <v>69.599999999999994</v>
      </c>
      <c r="H56" s="236" cm="1">
        <f t="array" ref="H56">Common_InputFunctions.Utility_DisplayArrayInTable(Fuel_SourceData.Fuel_Scope1Scope3EmissionFactorsStationaryLiquid_Data(), Table_Fuel_EFs_StationaryLiquid[[#Headers],[Fuel combusted]],0)</f>
        <v>0.08</v>
      </c>
      <c r="I56" s="236" cm="1">
        <f t="array" ref="I56">Common_InputFunctions.Utility_DisplayArrayInTable(Fuel_SourceData.Fuel_Scope1Scope3EmissionFactorsStationaryLiquid_Data(), Table_Fuel_EFs_StationaryLiquid[[#Headers],[Fuel combusted]],0)</f>
        <v>0.2</v>
      </c>
      <c r="J56" s="236" cm="1">
        <f t="array" ref="J56">Common_InputFunctions.Utility_DisplayArrayInTable(Fuel_SourceData.Fuel_Scope1Scope3EmissionFactorsStationaryLiquid_Data(), Table_Fuel_EFs_StationaryLiquid[[#Headers],[Fuel combusted]],0)</f>
        <v>69.88</v>
      </c>
      <c r="K56" s="236" t="str" cm="1">
        <f t="array" ref="K56">Common_InputFunctions.Utility_DisplayArrayInTable(Fuel_SourceData.Fuel_Scope1Scope3EmissionFactorsStationaryLiquid_Data(), Table_Fuel_EFs_StationaryLiquid[[#Headers],[Fuel combusted]],0)</f>
        <v>NE</v>
      </c>
      <c r="L56" s="184"/>
    </row>
    <row r="57" spans="1:12" ht="20.100000000000001" customHeight="1" x14ac:dyDescent="0.25">
      <c r="A57" s="5" t="str">
        <f>HYPERLINK("#'Constants - Ag Residue'!A1", "Constants - Ag residue")</f>
        <v>Constants - Ag residue</v>
      </c>
      <c r="D57" s="236" t="str" cm="1">
        <f t="array" ref="D57">Common_InputFunctions.Utility_DisplayArrayInTable(Fuel_SourceData.Fuel_Scope1Scope3EmissionFactorsStationaryLiquid_Data(), Table_Fuel_EFs_StationaryLiquid[[#Headers],[Fuel combusted]],0)</f>
        <v>Other natural gas liquids</v>
      </c>
      <c r="E57" s="236" cm="1">
        <f t="array" ref="E57">Common_InputFunctions.Utility_DisplayArrayInTable(Fuel_SourceData.Fuel_Scope1Scope3EmissionFactorsStationaryLiquid_Data(), Table_Fuel_EFs_StationaryLiquid[[#Headers],[Fuel combusted]],0)</f>
        <v>46.5</v>
      </c>
      <c r="F57" s="236" t="str" cm="1">
        <f t="array" ref="F57">Common_InputFunctions.Utility_DisplayArrayInTable(Fuel_SourceData.Fuel_Scope1Scope3EmissionFactorsStationaryLiquid_Data(), Table_Fuel_EFs_StationaryLiquid[[#Headers],[Fuel combusted]],0)</f>
        <v>t</v>
      </c>
      <c r="G57" s="236" cm="1">
        <f t="array" ref="G57">Common_InputFunctions.Utility_DisplayArrayInTable(Fuel_SourceData.Fuel_Scope1Scope3EmissionFactorsStationaryLiquid_Data(), Table_Fuel_EFs_StationaryLiquid[[#Headers],[Fuel combusted]],0)</f>
        <v>61</v>
      </c>
      <c r="H57" s="236" cm="1">
        <f t="array" ref="H57">Common_InputFunctions.Utility_DisplayArrayInTable(Fuel_SourceData.Fuel_Scope1Scope3EmissionFactorsStationaryLiquid_Data(), Table_Fuel_EFs_StationaryLiquid[[#Headers],[Fuel combusted]],0)</f>
        <v>0.08</v>
      </c>
      <c r="I57" s="236" cm="1">
        <f t="array" ref="I57">Common_InputFunctions.Utility_DisplayArrayInTable(Fuel_SourceData.Fuel_Scope1Scope3EmissionFactorsStationaryLiquid_Data(), Table_Fuel_EFs_StationaryLiquid[[#Headers],[Fuel combusted]],0)</f>
        <v>0.2</v>
      </c>
      <c r="J57" s="236" cm="1">
        <f t="array" ref="J57">Common_InputFunctions.Utility_DisplayArrayInTable(Fuel_SourceData.Fuel_Scope1Scope3EmissionFactorsStationaryLiquid_Data(), Table_Fuel_EFs_StationaryLiquid[[#Headers],[Fuel combusted]],0)</f>
        <v>61.28</v>
      </c>
      <c r="K57" s="236" t="str" cm="1">
        <f t="array" ref="K57">Common_InputFunctions.Utility_DisplayArrayInTable(Fuel_SourceData.Fuel_Scope1Scope3EmissionFactorsStationaryLiquid_Data(), Table_Fuel_EFs_StationaryLiquid[[#Headers],[Fuel combusted]],0)</f>
        <v>NE</v>
      </c>
      <c r="L57" s="184"/>
    </row>
    <row r="58" spans="1:12" ht="20.100000000000001" customHeight="1" x14ac:dyDescent="0.25">
      <c r="A58" s="5" t="str">
        <f>HYPERLINK("#'Constants - Common Livestock'!A1", "Constants - Common Livestock")</f>
        <v>Constants - Common Livestock</v>
      </c>
      <c r="D58" s="23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36" cm="1">
        <f t="array" ref="E58">Common_InputFunctions.Utility_DisplayArrayInTable(Fuel_SourceData.Fuel_Scope1Scope3EmissionFactorsStationaryLiquid_Data(), Table_Fuel_EFs_StationaryLiquid[[#Headers],[Fuel combusted]],0)</f>
        <v>34.200000000000003</v>
      </c>
      <c r="F58" s="236" t="str" cm="1">
        <f t="array" ref="F58">Common_InputFunctions.Utility_DisplayArrayInTable(Fuel_SourceData.Fuel_Scope1Scope3EmissionFactorsStationaryLiquid_Data(), Table_Fuel_EFs_StationaryLiquid[[#Headers],[Fuel combusted]],0)</f>
        <v>kL</v>
      </c>
      <c r="G58" s="236" cm="1">
        <f t="array" ref="G58">Common_InputFunctions.Utility_DisplayArrayInTable(Fuel_SourceData.Fuel_Scope1Scope3EmissionFactorsStationaryLiquid_Data(), Table_Fuel_EFs_StationaryLiquid[[#Headers],[Fuel combusted]],0)</f>
        <v>67.400000000000006</v>
      </c>
      <c r="H58" s="236" cm="1">
        <f t="array" ref="H58">Common_InputFunctions.Utility_DisplayArrayInTable(Fuel_SourceData.Fuel_Scope1Scope3EmissionFactorsStationaryLiquid_Data(), Table_Fuel_EFs_StationaryLiquid[[#Headers],[Fuel combusted]],0)</f>
        <v>0.2</v>
      </c>
      <c r="I58" s="236" cm="1">
        <f t="array" ref="I58">Common_InputFunctions.Utility_DisplayArrayInTable(Fuel_SourceData.Fuel_Scope1Scope3EmissionFactorsStationaryLiquid_Data(), Table_Fuel_EFs_StationaryLiquid[[#Headers],[Fuel combusted]],0)</f>
        <v>0.2</v>
      </c>
      <c r="J58" s="236" cm="1">
        <f t="array" ref="J58">Common_InputFunctions.Utility_DisplayArrayInTable(Fuel_SourceData.Fuel_Scope1Scope3EmissionFactorsStationaryLiquid_Data(), Table_Fuel_EFs_StationaryLiquid[[#Headers],[Fuel combusted]],0)</f>
        <v>67.8</v>
      </c>
      <c r="K58" s="236" cm="1">
        <f t="array" ref="K58">Common_InputFunctions.Utility_DisplayArrayInTable(Fuel_SourceData.Fuel_Scope1Scope3EmissionFactorsStationaryLiquid_Data(), Table_Fuel_EFs_StationaryLiquid[[#Headers],[Fuel combusted]],0)</f>
        <v>17.2</v>
      </c>
      <c r="L58" s="184"/>
    </row>
    <row r="59" spans="1:12" ht="20.100000000000001" customHeight="1" x14ac:dyDescent="0.25">
      <c r="A59" s="5" t="str">
        <f>HYPERLINK("#'Constants - Electricity'!A1", "Constants - Electricity")</f>
        <v>Constants - Electricity</v>
      </c>
      <c r="D59" s="236" t="str" cm="1">
        <f t="array" ref="D59">Common_InputFunctions.Utility_DisplayArrayInTable(Fuel_SourceData.Fuel_Scope1Scope3EmissionFactorsStationaryLiquid_Data(), Table_Fuel_EFs_StationaryLiquid[[#Headers],[Fuel combusted]],0)</f>
        <v>Aviation gasoline</v>
      </c>
      <c r="E59" s="236" cm="1">
        <f t="array" ref="E59">Common_InputFunctions.Utility_DisplayArrayInTable(Fuel_SourceData.Fuel_Scope1Scope3EmissionFactorsStationaryLiquid_Data(), Table_Fuel_EFs_StationaryLiquid[[#Headers],[Fuel combusted]],0)</f>
        <v>33.1</v>
      </c>
      <c r="F59" s="236" t="str" cm="1">
        <f t="array" ref="F59">Common_InputFunctions.Utility_DisplayArrayInTable(Fuel_SourceData.Fuel_Scope1Scope3EmissionFactorsStationaryLiquid_Data(), Table_Fuel_EFs_StationaryLiquid[[#Headers],[Fuel combusted]],0)</f>
        <v>kL</v>
      </c>
      <c r="G59" s="236" cm="1">
        <f t="array" ref="G59">Common_InputFunctions.Utility_DisplayArrayInTable(Fuel_SourceData.Fuel_Scope1Scope3EmissionFactorsStationaryLiquid_Data(), Table_Fuel_EFs_StationaryLiquid[[#Headers],[Fuel combusted]],0)</f>
        <v>67</v>
      </c>
      <c r="H59" s="236" cm="1">
        <f t="array" ref="H59">Common_InputFunctions.Utility_DisplayArrayInTable(Fuel_SourceData.Fuel_Scope1Scope3EmissionFactorsStationaryLiquid_Data(), Table_Fuel_EFs_StationaryLiquid[[#Headers],[Fuel combusted]],0)</f>
        <v>0.2</v>
      </c>
      <c r="I59" s="236" cm="1">
        <f t="array" ref="I59">Common_InputFunctions.Utility_DisplayArrayInTable(Fuel_SourceData.Fuel_Scope1Scope3EmissionFactorsStationaryLiquid_Data(), Table_Fuel_EFs_StationaryLiquid[[#Headers],[Fuel combusted]],0)</f>
        <v>0.2</v>
      </c>
      <c r="J59" s="236" cm="1">
        <f t="array" ref="J59">Common_InputFunctions.Utility_DisplayArrayInTable(Fuel_SourceData.Fuel_Scope1Scope3EmissionFactorsStationaryLiquid_Data(), Table_Fuel_EFs_StationaryLiquid[[#Headers],[Fuel combusted]],0)</f>
        <v>67.400000000000006</v>
      </c>
      <c r="K59" s="236" cm="1">
        <f t="array" ref="K59">Common_InputFunctions.Utility_DisplayArrayInTable(Fuel_SourceData.Fuel_Scope1Scope3EmissionFactorsStationaryLiquid_Data(), Table_Fuel_EFs_StationaryLiquid[[#Headers],[Fuel combusted]],0)</f>
        <v>18</v>
      </c>
      <c r="L59" s="184"/>
    </row>
    <row r="60" spans="1:12" ht="20.100000000000001" customHeight="1" x14ac:dyDescent="0.25">
      <c r="A60" s="5" t="str">
        <f>HYPERLINK("#'Constants - Fertiliser'!A1", "Constants - Fertiliser")</f>
        <v>Constants - Fertiliser</v>
      </c>
      <c r="D60" s="236" t="str" cm="1">
        <f t="array" ref="D60">Common_InputFunctions.Utility_DisplayArrayInTable(Fuel_SourceData.Fuel_Scope1Scope3EmissionFactorsStationaryLiquid_Data(), Table_Fuel_EFs_StationaryLiquid[[#Headers],[Fuel combusted]],0)</f>
        <v>Kerosene (other than for use as fuel in an aircraft)</v>
      </c>
      <c r="E60" s="236" cm="1">
        <f t="array" ref="E60">Common_InputFunctions.Utility_DisplayArrayInTable(Fuel_SourceData.Fuel_Scope1Scope3EmissionFactorsStationaryLiquid_Data(), Table_Fuel_EFs_StationaryLiquid[[#Headers],[Fuel combusted]],0)</f>
        <v>37.5</v>
      </c>
      <c r="F60" s="236" t="str" cm="1">
        <f t="array" ref="F60">Common_InputFunctions.Utility_DisplayArrayInTable(Fuel_SourceData.Fuel_Scope1Scope3EmissionFactorsStationaryLiquid_Data(), Table_Fuel_EFs_StationaryLiquid[[#Headers],[Fuel combusted]],0)</f>
        <v>kL</v>
      </c>
      <c r="G60" s="236" cm="1">
        <f t="array" ref="G60">Common_InputFunctions.Utility_DisplayArrayInTable(Fuel_SourceData.Fuel_Scope1Scope3EmissionFactorsStationaryLiquid_Data(), Table_Fuel_EFs_StationaryLiquid[[#Headers],[Fuel combusted]],0)</f>
        <v>68.900000000000006</v>
      </c>
      <c r="H60" s="236" cm="1">
        <f t="array" ref="H60">Common_InputFunctions.Utility_DisplayArrayInTable(Fuel_SourceData.Fuel_Scope1Scope3EmissionFactorsStationaryLiquid_Data(), Table_Fuel_EFs_StationaryLiquid[[#Headers],[Fuel combusted]],0)</f>
        <v>0.01</v>
      </c>
      <c r="I60" s="236" cm="1">
        <f t="array" ref="I60">Common_InputFunctions.Utility_DisplayArrayInTable(Fuel_SourceData.Fuel_Scope1Scope3EmissionFactorsStationaryLiquid_Data(), Table_Fuel_EFs_StationaryLiquid[[#Headers],[Fuel combusted]],0)</f>
        <v>0.2</v>
      </c>
      <c r="J60" s="236" cm="1">
        <f t="array" ref="J60">Common_InputFunctions.Utility_DisplayArrayInTable(Fuel_SourceData.Fuel_Scope1Scope3EmissionFactorsStationaryLiquid_Data(), Table_Fuel_EFs_StationaryLiquid[[#Headers],[Fuel combusted]],0)</f>
        <v>69.11</v>
      </c>
      <c r="K60" s="236" cm="1">
        <f t="array" ref="K60">Common_InputFunctions.Utility_DisplayArrayInTable(Fuel_SourceData.Fuel_Scope1Scope3EmissionFactorsStationaryLiquid_Data(), Table_Fuel_EFs_StationaryLiquid[[#Headers],[Fuel combusted]],0)</f>
        <v>18</v>
      </c>
      <c r="L60" s="184"/>
    </row>
    <row r="61" spans="1:12" ht="20.100000000000001" customHeight="1" x14ac:dyDescent="0.25">
      <c r="A61" s="84" t="str">
        <f>HYPERLINK("#'Constants - Fuel'!A1", "Constants - Fuel")</f>
        <v>Constants - Fuel</v>
      </c>
      <c r="D61" s="236" t="str" cm="1">
        <f t="array" ref="D61">Common_InputFunctions.Utility_DisplayArrayInTable(Fuel_SourceData.Fuel_Scope1Scope3EmissionFactorsStationaryLiquid_Data(), Table_Fuel_EFs_StationaryLiquid[[#Headers],[Fuel combusted]],0)</f>
        <v>Aviation turbine fuel / kerosene</v>
      </c>
      <c r="E61" s="236" cm="1">
        <f t="array" ref="E61">Common_InputFunctions.Utility_DisplayArrayInTable(Fuel_SourceData.Fuel_Scope1Scope3EmissionFactorsStationaryLiquid_Data(), Table_Fuel_EFs_StationaryLiquid[[#Headers],[Fuel combusted]],0)</f>
        <v>36.799999999999997</v>
      </c>
      <c r="F61" s="236" t="str" cm="1">
        <f t="array" ref="F61">Common_InputFunctions.Utility_DisplayArrayInTable(Fuel_SourceData.Fuel_Scope1Scope3EmissionFactorsStationaryLiquid_Data(), Table_Fuel_EFs_StationaryLiquid[[#Headers],[Fuel combusted]],0)</f>
        <v>kL</v>
      </c>
      <c r="G61" s="236" cm="1">
        <f t="array" ref="G61">Common_InputFunctions.Utility_DisplayArrayInTable(Fuel_SourceData.Fuel_Scope1Scope3EmissionFactorsStationaryLiquid_Data(), Table_Fuel_EFs_StationaryLiquid[[#Headers],[Fuel combusted]],0)</f>
        <v>69.599999999999994</v>
      </c>
      <c r="H61" s="236" cm="1">
        <f t="array" ref="H61">Common_InputFunctions.Utility_DisplayArrayInTable(Fuel_SourceData.Fuel_Scope1Scope3EmissionFactorsStationaryLiquid_Data(), Table_Fuel_EFs_StationaryLiquid[[#Headers],[Fuel combusted]],0)</f>
        <v>0.02</v>
      </c>
      <c r="I61" s="236" cm="1">
        <f t="array" ref="I61">Common_InputFunctions.Utility_DisplayArrayInTable(Fuel_SourceData.Fuel_Scope1Scope3EmissionFactorsStationaryLiquid_Data(), Table_Fuel_EFs_StationaryLiquid[[#Headers],[Fuel combusted]],0)</f>
        <v>0.2</v>
      </c>
      <c r="J61" s="236" cm="1">
        <f t="array" ref="J61">Common_InputFunctions.Utility_DisplayArrayInTable(Fuel_SourceData.Fuel_Scope1Scope3EmissionFactorsStationaryLiquid_Data(), Table_Fuel_EFs_StationaryLiquid[[#Headers],[Fuel combusted]],0)</f>
        <v>69.819999999999993</v>
      </c>
      <c r="K61" s="236" cm="1">
        <f t="array" ref="K61">Common_InputFunctions.Utility_DisplayArrayInTable(Fuel_SourceData.Fuel_Scope1Scope3EmissionFactorsStationaryLiquid_Data(), Table_Fuel_EFs_StationaryLiquid[[#Headers],[Fuel combusted]],0)</f>
        <v>18</v>
      </c>
      <c r="L61" s="184"/>
    </row>
    <row r="62" spans="1:12" ht="20.100000000000001" customHeight="1" x14ac:dyDescent="0.25">
      <c r="A62" s="5" t="str">
        <f>HYPERLINK("#'Constants - Scope 3'!A1", "Constants - Scope 3")</f>
        <v>Constants - Scope 3</v>
      </c>
      <c r="D62" s="236" t="str" cm="1">
        <f t="array" ref="D62">Common_InputFunctions.Utility_DisplayArrayInTable(Fuel_SourceData.Fuel_Scope1Scope3EmissionFactorsStationaryLiquid_Data(), Table_Fuel_EFs_StationaryLiquid[[#Headers],[Fuel combusted]],0)</f>
        <v>Heating oil</v>
      </c>
      <c r="E62" s="236" cm="1">
        <f t="array" ref="E62">Common_InputFunctions.Utility_DisplayArrayInTable(Fuel_SourceData.Fuel_Scope1Scope3EmissionFactorsStationaryLiquid_Data(), Table_Fuel_EFs_StationaryLiquid[[#Headers],[Fuel combusted]],0)</f>
        <v>37.299999999999997</v>
      </c>
      <c r="F62" s="236" t="str" cm="1">
        <f t="array" ref="F62">Common_InputFunctions.Utility_DisplayArrayInTable(Fuel_SourceData.Fuel_Scope1Scope3EmissionFactorsStationaryLiquid_Data(), Table_Fuel_EFs_StationaryLiquid[[#Headers],[Fuel combusted]],0)</f>
        <v>kL</v>
      </c>
      <c r="G62" s="236" cm="1">
        <f t="array" ref="G62">Common_InputFunctions.Utility_DisplayArrayInTable(Fuel_SourceData.Fuel_Scope1Scope3EmissionFactorsStationaryLiquid_Data(), Table_Fuel_EFs_StationaryLiquid[[#Headers],[Fuel combusted]],0)</f>
        <v>69.5</v>
      </c>
      <c r="H62" s="236" cm="1">
        <f t="array" ref="H62">Common_InputFunctions.Utility_DisplayArrayInTable(Fuel_SourceData.Fuel_Scope1Scope3EmissionFactorsStationaryLiquid_Data(), Table_Fuel_EFs_StationaryLiquid[[#Headers],[Fuel combusted]],0)</f>
        <v>0.03</v>
      </c>
      <c r="I62" s="236" cm="1">
        <f t="array" ref="I62">Common_InputFunctions.Utility_DisplayArrayInTable(Fuel_SourceData.Fuel_Scope1Scope3EmissionFactorsStationaryLiquid_Data(), Table_Fuel_EFs_StationaryLiquid[[#Headers],[Fuel combusted]],0)</f>
        <v>0.2</v>
      </c>
      <c r="J62" s="236" cm="1">
        <f t="array" ref="J62">Common_InputFunctions.Utility_DisplayArrayInTable(Fuel_SourceData.Fuel_Scope1Scope3EmissionFactorsStationaryLiquid_Data(), Table_Fuel_EFs_StationaryLiquid[[#Headers],[Fuel combusted]],0)</f>
        <v>69.73</v>
      </c>
      <c r="K62" s="236" cm="1">
        <f t="array" ref="K62">Common_InputFunctions.Utility_DisplayArrayInTable(Fuel_SourceData.Fuel_Scope1Scope3EmissionFactorsStationaryLiquid_Data(), Table_Fuel_EFs_StationaryLiquid[[#Headers],[Fuel combusted]],0)</f>
        <v>18</v>
      </c>
      <c r="L62" s="184"/>
    </row>
    <row r="63" spans="1:12" ht="20.100000000000001" customHeight="1" x14ac:dyDescent="0.25">
      <c r="A63" s="5" t="str">
        <f>HYPERLINK("#'Constants - Common'!A1", "Constants - Common")</f>
        <v>Constants - Common</v>
      </c>
      <c r="D63" s="236" t="str" cm="1">
        <f t="array" ref="D63">Common_InputFunctions.Utility_DisplayArrayInTable(Fuel_SourceData.Fuel_Scope1Scope3EmissionFactorsStationaryLiquid_Data(), Table_Fuel_EFs_StationaryLiquid[[#Headers],[Fuel combusted]],0)</f>
        <v>Diesel oil</v>
      </c>
      <c r="E63" s="236" cm="1">
        <f t="array" ref="E63">Common_InputFunctions.Utility_DisplayArrayInTable(Fuel_SourceData.Fuel_Scope1Scope3EmissionFactorsStationaryLiquid_Data(), Table_Fuel_EFs_StationaryLiquid[[#Headers],[Fuel combusted]],0)</f>
        <v>38.6</v>
      </c>
      <c r="F63" s="236" t="str" cm="1">
        <f t="array" ref="F63">Common_InputFunctions.Utility_DisplayArrayInTable(Fuel_SourceData.Fuel_Scope1Scope3EmissionFactorsStationaryLiquid_Data(), Table_Fuel_EFs_StationaryLiquid[[#Headers],[Fuel combusted]],0)</f>
        <v>kL</v>
      </c>
      <c r="G63" s="236" cm="1">
        <f t="array" ref="G63">Common_InputFunctions.Utility_DisplayArrayInTable(Fuel_SourceData.Fuel_Scope1Scope3EmissionFactorsStationaryLiquid_Data(), Table_Fuel_EFs_StationaryLiquid[[#Headers],[Fuel combusted]],0)</f>
        <v>69.900000000000006</v>
      </c>
      <c r="H63" s="236" cm="1">
        <f t="array" ref="H63">Common_InputFunctions.Utility_DisplayArrayInTable(Fuel_SourceData.Fuel_Scope1Scope3EmissionFactorsStationaryLiquid_Data(), Table_Fuel_EFs_StationaryLiquid[[#Headers],[Fuel combusted]],0)</f>
        <v>0.1</v>
      </c>
      <c r="I63" s="236" cm="1">
        <f t="array" ref="I63">Common_InputFunctions.Utility_DisplayArrayInTable(Fuel_SourceData.Fuel_Scope1Scope3EmissionFactorsStationaryLiquid_Data(), Table_Fuel_EFs_StationaryLiquid[[#Headers],[Fuel combusted]],0)</f>
        <v>0.2</v>
      </c>
      <c r="J63" s="236" cm="1">
        <f t="array" ref="J63">Common_InputFunctions.Utility_DisplayArrayInTable(Fuel_SourceData.Fuel_Scope1Scope3EmissionFactorsStationaryLiquid_Data(), Table_Fuel_EFs_StationaryLiquid[[#Headers],[Fuel combusted]],0)</f>
        <v>70.2</v>
      </c>
      <c r="K63" s="236" cm="1">
        <f t="array" ref="K63">Common_InputFunctions.Utility_DisplayArrayInTable(Fuel_SourceData.Fuel_Scope1Scope3EmissionFactorsStationaryLiquid_Data(), Table_Fuel_EFs_StationaryLiquid[[#Headers],[Fuel combusted]],0)</f>
        <v>17.3</v>
      </c>
      <c r="L63" s="184"/>
    </row>
    <row r="64" spans="1:12" ht="20.100000000000001" customHeight="1" x14ac:dyDescent="0.25">
      <c r="A64" s="5" t="str">
        <f>HYPERLINK("#'Constants - Solid Waste'!A1", "Constants - Solid Waste")</f>
        <v>Constants - Solid Waste</v>
      </c>
      <c r="D64" s="236" t="str" cm="1">
        <f t="array" ref="D64">Common_InputFunctions.Utility_DisplayArrayInTable(Fuel_SourceData.Fuel_Scope1Scope3EmissionFactorsStationaryLiquid_Data(), Table_Fuel_EFs_StationaryLiquid[[#Headers],[Fuel combusted]],0)</f>
        <v>Fuel oil</v>
      </c>
      <c r="E64" s="236" cm="1">
        <f t="array" ref="E64">Common_InputFunctions.Utility_DisplayArrayInTable(Fuel_SourceData.Fuel_Scope1Scope3EmissionFactorsStationaryLiquid_Data(), Table_Fuel_EFs_StationaryLiquid[[#Headers],[Fuel combusted]],0)</f>
        <v>39.700000000000003</v>
      </c>
      <c r="F64" s="236" t="str" cm="1">
        <f t="array" ref="F64">Common_InputFunctions.Utility_DisplayArrayInTable(Fuel_SourceData.Fuel_Scope1Scope3EmissionFactorsStationaryLiquid_Data(), Table_Fuel_EFs_StationaryLiquid[[#Headers],[Fuel combusted]],0)</f>
        <v>kL</v>
      </c>
      <c r="G64" s="236" cm="1">
        <f t="array" ref="G64">Common_InputFunctions.Utility_DisplayArrayInTable(Fuel_SourceData.Fuel_Scope1Scope3EmissionFactorsStationaryLiquid_Data(), Table_Fuel_EFs_StationaryLiquid[[#Headers],[Fuel combusted]],0)</f>
        <v>73.599999999999994</v>
      </c>
      <c r="H64" s="236" cm="1">
        <f t="array" ref="H64">Common_InputFunctions.Utility_DisplayArrayInTable(Fuel_SourceData.Fuel_Scope1Scope3EmissionFactorsStationaryLiquid_Data(), Table_Fuel_EFs_StationaryLiquid[[#Headers],[Fuel combusted]],0)</f>
        <v>0.04</v>
      </c>
      <c r="I64" s="236" cm="1">
        <f t="array" ref="I64">Common_InputFunctions.Utility_DisplayArrayInTable(Fuel_SourceData.Fuel_Scope1Scope3EmissionFactorsStationaryLiquid_Data(), Table_Fuel_EFs_StationaryLiquid[[#Headers],[Fuel combusted]],0)</f>
        <v>0.2</v>
      </c>
      <c r="J64" s="236" cm="1">
        <f t="array" ref="J64">Common_InputFunctions.Utility_DisplayArrayInTable(Fuel_SourceData.Fuel_Scope1Scope3EmissionFactorsStationaryLiquid_Data(), Table_Fuel_EFs_StationaryLiquid[[#Headers],[Fuel combusted]],0)</f>
        <v>73.84</v>
      </c>
      <c r="K64" s="236" cm="1">
        <f t="array" ref="K64">Common_InputFunctions.Utility_DisplayArrayInTable(Fuel_SourceData.Fuel_Scope1Scope3EmissionFactorsStationaryLiquid_Data(), Table_Fuel_EFs_StationaryLiquid[[#Headers],[Fuel combusted]],0)</f>
        <v>18</v>
      </c>
      <c r="L64" s="184"/>
    </row>
    <row r="65" spans="1:13" ht="20.100000000000001" customHeight="1" x14ac:dyDescent="0.25">
      <c r="A65" s="5" t="str">
        <f>HYPERLINK("#'Acknowledgements'!A1", "Acknowledgements")</f>
        <v>Acknowledgements</v>
      </c>
      <c r="D65" s="236" t="str" cm="1">
        <f t="array" ref="D65">Common_InputFunctions.Utility_DisplayArrayInTable(Fuel_SourceData.Fuel_Scope1Scope3EmissionFactorsStationaryLiquid_Data(), Table_Fuel_EFs_StationaryLiquid[[#Headers],[Fuel combusted]],0)</f>
        <v>Liquefied aromatic hydrocarbons</v>
      </c>
      <c r="E65" s="236" cm="1">
        <f t="array" ref="E65">Common_InputFunctions.Utility_DisplayArrayInTable(Fuel_SourceData.Fuel_Scope1Scope3EmissionFactorsStationaryLiquid_Data(), Table_Fuel_EFs_StationaryLiquid[[#Headers],[Fuel combusted]],0)</f>
        <v>34.4</v>
      </c>
      <c r="F65" s="236" t="str" cm="1">
        <f t="array" ref="F65">Common_InputFunctions.Utility_DisplayArrayInTable(Fuel_SourceData.Fuel_Scope1Scope3EmissionFactorsStationaryLiquid_Data(), Table_Fuel_EFs_StationaryLiquid[[#Headers],[Fuel combusted]],0)</f>
        <v>kL</v>
      </c>
      <c r="G65" s="236" cm="1">
        <f t="array" ref="G65">Common_InputFunctions.Utility_DisplayArrayInTable(Fuel_SourceData.Fuel_Scope1Scope3EmissionFactorsStationaryLiquid_Data(), Table_Fuel_EFs_StationaryLiquid[[#Headers],[Fuel combusted]],0)</f>
        <v>69.7</v>
      </c>
      <c r="H65" s="236" cm="1">
        <f t="array" ref="H65">Common_InputFunctions.Utility_DisplayArrayInTable(Fuel_SourceData.Fuel_Scope1Scope3EmissionFactorsStationaryLiquid_Data(), Table_Fuel_EFs_StationaryLiquid[[#Headers],[Fuel combusted]],0)</f>
        <v>0.03</v>
      </c>
      <c r="I65" s="236" cm="1">
        <f t="array" ref="I65">Common_InputFunctions.Utility_DisplayArrayInTable(Fuel_SourceData.Fuel_Scope1Scope3EmissionFactorsStationaryLiquid_Data(), Table_Fuel_EFs_StationaryLiquid[[#Headers],[Fuel combusted]],0)</f>
        <v>0.2</v>
      </c>
      <c r="J65" s="236" cm="1">
        <f t="array" ref="J65">Common_InputFunctions.Utility_DisplayArrayInTable(Fuel_SourceData.Fuel_Scope1Scope3EmissionFactorsStationaryLiquid_Data(), Table_Fuel_EFs_StationaryLiquid[[#Headers],[Fuel combusted]],0)</f>
        <v>69.930000000000007</v>
      </c>
      <c r="K65" s="236" cm="1">
        <f t="array" ref="K65">Common_InputFunctions.Utility_DisplayArrayInTable(Fuel_SourceData.Fuel_Scope1Scope3EmissionFactorsStationaryLiquid_Data(), Table_Fuel_EFs_StationaryLiquid[[#Headers],[Fuel combusted]],0)</f>
        <v>18</v>
      </c>
      <c r="L65" s="184"/>
    </row>
    <row r="66" spans="1:13" ht="20.100000000000001" customHeight="1" x14ac:dyDescent="0.25">
      <c r="D66" s="236" t="str" cm="1">
        <f t="array" ref="D66">Common_InputFunctions.Utility_DisplayArrayInTable(Fuel_SourceData.Fuel_Scope1Scope3EmissionFactorsStationaryLiquid_Data(), Table_Fuel_EFs_StationaryLiquid[[#Headers],[Fuel combusted]],0)</f>
        <v>Solvents: mineral turpentine or white spirits</v>
      </c>
      <c r="E66" s="236" cm="1">
        <f t="array" ref="E66">Common_InputFunctions.Utility_DisplayArrayInTable(Fuel_SourceData.Fuel_Scope1Scope3EmissionFactorsStationaryLiquid_Data(), Table_Fuel_EFs_StationaryLiquid[[#Headers],[Fuel combusted]],0)</f>
        <v>34.4</v>
      </c>
      <c r="F66" s="236" t="str" cm="1">
        <f t="array" ref="F66">Common_InputFunctions.Utility_DisplayArrayInTable(Fuel_SourceData.Fuel_Scope1Scope3EmissionFactorsStationaryLiquid_Data(), Table_Fuel_EFs_StationaryLiquid[[#Headers],[Fuel combusted]],0)</f>
        <v>kL</v>
      </c>
      <c r="G66" s="236" cm="1">
        <f t="array" ref="G66">Common_InputFunctions.Utility_DisplayArrayInTable(Fuel_SourceData.Fuel_Scope1Scope3EmissionFactorsStationaryLiquid_Data(), Table_Fuel_EFs_StationaryLiquid[[#Headers],[Fuel combusted]],0)</f>
        <v>69.7</v>
      </c>
      <c r="H66" s="236" cm="1">
        <f t="array" ref="H66">Common_InputFunctions.Utility_DisplayArrayInTable(Fuel_SourceData.Fuel_Scope1Scope3EmissionFactorsStationaryLiquid_Data(), Table_Fuel_EFs_StationaryLiquid[[#Headers],[Fuel combusted]],0)</f>
        <v>0.03</v>
      </c>
      <c r="I66" s="236" cm="1">
        <f t="array" ref="I66">Common_InputFunctions.Utility_DisplayArrayInTable(Fuel_SourceData.Fuel_Scope1Scope3EmissionFactorsStationaryLiquid_Data(), Table_Fuel_EFs_StationaryLiquid[[#Headers],[Fuel combusted]],0)</f>
        <v>0.2</v>
      </c>
      <c r="J66" s="236" cm="1">
        <f t="array" ref="J66">Common_InputFunctions.Utility_DisplayArrayInTable(Fuel_SourceData.Fuel_Scope1Scope3EmissionFactorsStationaryLiquid_Data(), Table_Fuel_EFs_StationaryLiquid[[#Headers],[Fuel combusted]],0)</f>
        <v>69.930000000000007</v>
      </c>
      <c r="K66" s="236" cm="1">
        <f t="array" ref="K66">Common_InputFunctions.Utility_DisplayArrayInTable(Fuel_SourceData.Fuel_Scope1Scope3EmissionFactorsStationaryLiquid_Data(), Table_Fuel_EFs_StationaryLiquid[[#Headers],[Fuel combusted]],0)</f>
        <v>18</v>
      </c>
      <c r="L66" s="184"/>
    </row>
    <row r="67" spans="1:13" ht="20.100000000000001" customHeight="1" x14ac:dyDescent="0.25">
      <c r="D67" s="236" t="str" cm="1">
        <f t="array" ref="D67">Common_InputFunctions.Utility_DisplayArrayInTable(Fuel_SourceData.Fuel_Scope1Scope3EmissionFactorsStationaryLiquid_Data(), Table_Fuel_EFs_StationaryLiquid[[#Headers],[Fuel combusted]],0)</f>
        <v>Liquefied petroleum gas (LPG)</v>
      </c>
      <c r="E67" s="236" cm="1">
        <f t="array" ref="E67">Common_InputFunctions.Utility_DisplayArrayInTable(Fuel_SourceData.Fuel_Scope1Scope3EmissionFactorsStationaryLiquid_Data(), Table_Fuel_EFs_StationaryLiquid[[#Headers],[Fuel combusted]],0)</f>
        <v>25.7</v>
      </c>
      <c r="F67" s="236" t="str" cm="1">
        <f t="array" ref="F67">Common_InputFunctions.Utility_DisplayArrayInTable(Fuel_SourceData.Fuel_Scope1Scope3EmissionFactorsStationaryLiquid_Data(), Table_Fuel_EFs_StationaryLiquid[[#Headers],[Fuel combusted]],0)</f>
        <v>kL</v>
      </c>
      <c r="G67" s="236" cm="1">
        <f t="array" ref="G67">Common_InputFunctions.Utility_DisplayArrayInTable(Fuel_SourceData.Fuel_Scope1Scope3EmissionFactorsStationaryLiquid_Data(), Table_Fuel_EFs_StationaryLiquid[[#Headers],[Fuel combusted]],0)</f>
        <v>60.2</v>
      </c>
      <c r="H67" s="236" cm="1">
        <f t="array" ref="H67">Common_InputFunctions.Utility_DisplayArrayInTable(Fuel_SourceData.Fuel_Scope1Scope3EmissionFactorsStationaryLiquid_Data(), Table_Fuel_EFs_StationaryLiquid[[#Headers],[Fuel combusted]],0)</f>
        <v>0.2</v>
      </c>
      <c r="I67" s="236" cm="1">
        <f t="array" ref="I67">Common_InputFunctions.Utility_DisplayArrayInTable(Fuel_SourceData.Fuel_Scope1Scope3EmissionFactorsStationaryLiquid_Data(), Table_Fuel_EFs_StationaryLiquid[[#Headers],[Fuel combusted]],0)</f>
        <v>0.2</v>
      </c>
      <c r="J67" s="236" cm="1">
        <f t="array" ref="J67">Common_InputFunctions.Utility_DisplayArrayInTable(Fuel_SourceData.Fuel_Scope1Scope3EmissionFactorsStationaryLiquid_Data(), Table_Fuel_EFs_StationaryLiquid[[#Headers],[Fuel combusted]],0)</f>
        <v>60.6</v>
      </c>
      <c r="K67" s="236" cm="1">
        <f t="array" ref="K67">Common_InputFunctions.Utility_DisplayArrayInTable(Fuel_SourceData.Fuel_Scope1Scope3EmissionFactorsStationaryLiquid_Data(), Table_Fuel_EFs_StationaryLiquid[[#Headers],[Fuel combusted]],0)</f>
        <v>20.2</v>
      </c>
      <c r="L67" s="184"/>
    </row>
    <row r="68" spans="1:13" ht="20.100000000000001" customHeight="1" x14ac:dyDescent="0.25">
      <c r="D68" s="236" t="str" cm="1">
        <f t="array" ref="D68">Common_InputFunctions.Utility_DisplayArrayInTable(Fuel_SourceData.Fuel_Scope1Scope3EmissionFactorsStationaryLiquid_Data(), Table_Fuel_EFs_StationaryLiquid[[#Headers],[Fuel combusted]],0)</f>
        <v>Naphtha</v>
      </c>
      <c r="E68" s="236" cm="1">
        <f t="array" ref="E68">Common_InputFunctions.Utility_DisplayArrayInTable(Fuel_SourceData.Fuel_Scope1Scope3EmissionFactorsStationaryLiquid_Data(), Table_Fuel_EFs_StationaryLiquid[[#Headers],[Fuel combusted]],0)</f>
        <v>31.4</v>
      </c>
      <c r="F68" s="236" t="str" cm="1">
        <f t="array" ref="F68">Common_InputFunctions.Utility_DisplayArrayInTable(Fuel_SourceData.Fuel_Scope1Scope3EmissionFactorsStationaryLiquid_Data(), Table_Fuel_EFs_StationaryLiquid[[#Headers],[Fuel combusted]],0)</f>
        <v>kL</v>
      </c>
      <c r="G68" s="236" cm="1">
        <f t="array" ref="G68">Common_InputFunctions.Utility_DisplayArrayInTable(Fuel_SourceData.Fuel_Scope1Scope3EmissionFactorsStationaryLiquid_Data(), Table_Fuel_EFs_StationaryLiquid[[#Headers],[Fuel combusted]],0)</f>
        <v>69.8</v>
      </c>
      <c r="H68" s="236" cm="1">
        <f t="array" ref="H68">Common_InputFunctions.Utility_DisplayArrayInTable(Fuel_SourceData.Fuel_Scope1Scope3EmissionFactorsStationaryLiquid_Data(), Table_Fuel_EFs_StationaryLiquid[[#Headers],[Fuel combusted]],0)</f>
        <v>0.01</v>
      </c>
      <c r="I68" s="236" cm="1">
        <f t="array" ref="I68">Common_InputFunctions.Utility_DisplayArrayInTable(Fuel_SourceData.Fuel_Scope1Scope3EmissionFactorsStationaryLiquid_Data(), Table_Fuel_EFs_StationaryLiquid[[#Headers],[Fuel combusted]],0)</f>
        <v>0.01</v>
      </c>
      <c r="J68" s="236" cm="1">
        <f t="array" ref="J68">Common_InputFunctions.Utility_DisplayArrayInTable(Fuel_SourceData.Fuel_Scope1Scope3EmissionFactorsStationaryLiquid_Data(), Table_Fuel_EFs_StationaryLiquid[[#Headers],[Fuel combusted]],0)</f>
        <v>69.819999999999993</v>
      </c>
      <c r="K68" s="236" cm="1">
        <f t="array" ref="K68">Common_InputFunctions.Utility_DisplayArrayInTable(Fuel_SourceData.Fuel_Scope1Scope3EmissionFactorsStationaryLiquid_Data(), Table_Fuel_EFs_StationaryLiquid[[#Headers],[Fuel combusted]],0)</f>
        <v>18</v>
      </c>
      <c r="L68" s="184"/>
    </row>
    <row r="69" spans="1:13" ht="20.100000000000001" customHeight="1" x14ac:dyDescent="0.25">
      <c r="D69" s="236" t="str" cm="1">
        <f t="array" ref="D69">Common_InputFunctions.Utility_DisplayArrayInTable(Fuel_SourceData.Fuel_Scope1Scope3EmissionFactorsStationaryLiquid_Data(), Table_Fuel_EFs_StationaryLiquid[[#Headers],[Fuel combusted]],0)</f>
        <v>Petroleum coke</v>
      </c>
      <c r="E69" s="236" cm="1">
        <f t="array" ref="E69">Common_InputFunctions.Utility_DisplayArrayInTable(Fuel_SourceData.Fuel_Scope1Scope3EmissionFactorsStationaryLiquid_Data(), Table_Fuel_EFs_StationaryLiquid[[#Headers],[Fuel combusted]],0)</f>
        <v>34.200000000000003</v>
      </c>
      <c r="F69" s="236" t="str" cm="1">
        <f t="array" ref="F69">Common_InputFunctions.Utility_DisplayArrayInTable(Fuel_SourceData.Fuel_Scope1Scope3EmissionFactorsStationaryLiquid_Data(), Table_Fuel_EFs_StationaryLiquid[[#Headers],[Fuel combusted]],0)</f>
        <v>t</v>
      </c>
      <c r="G69" s="236" cm="1">
        <f t="array" ref="G69">Common_InputFunctions.Utility_DisplayArrayInTable(Fuel_SourceData.Fuel_Scope1Scope3EmissionFactorsStationaryLiquid_Data(), Table_Fuel_EFs_StationaryLiquid[[#Headers],[Fuel combusted]],0)</f>
        <v>92.6</v>
      </c>
      <c r="H69" s="236" cm="1">
        <f t="array" ref="H69">Common_InputFunctions.Utility_DisplayArrayInTable(Fuel_SourceData.Fuel_Scope1Scope3EmissionFactorsStationaryLiquid_Data(), Table_Fuel_EFs_StationaryLiquid[[#Headers],[Fuel combusted]],0)</f>
        <v>0.08</v>
      </c>
      <c r="I69" s="236" cm="1">
        <f t="array" ref="I69">Common_InputFunctions.Utility_DisplayArrayInTable(Fuel_SourceData.Fuel_Scope1Scope3EmissionFactorsStationaryLiquid_Data(), Table_Fuel_EFs_StationaryLiquid[[#Headers],[Fuel combusted]],0)</f>
        <v>0.2</v>
      </c>
      <c r="J69" s="236" cm="1">
        <f t="array" ref="J69">Common_InputFunctions.Utility_DisplayArrayInTable(Fuel_SourceData.Fuel_Scope1Scope3EmissionFactorsStationaryLiquid_Data(), Table_Fuel_EFs_StationaryLiquid[[#Headers],[Fuel combusted]],0)</f>
        <v>92.88</v>
      </c>
      <c r="K69" s="236" cm="1">
        <f t="array" ref="K69">Common_InputFunctions.Utility_DisplayArrayInTable(Fuel_SourceData.Fuel_Scope1Scope3EmissionFactorsStationaryLiquid_Data(), Table_Fuel_EFs_StationaryLiquid[[#Headers],[Fuel combusted]],0)</f>
        <v>18</v>
      </c>
      <c r="L69" s="184"/>
    </row>
    <row r="70" spans="1:13" ht="20.100000000000001" customHeight="1" x14ac:dyDescent="0.25">
      <c r="D70" s="236" t="str" cm="1">
        <f t="array" ref="D70">Common_InputFunctions.Utility_DisplayArrayInTable(Fuel_SourceData.Fuel_Scope1Scope3EmissionFactorsStationaryLiquid_Data(), Table_Fuel_EFs_StationaryLiquid[[#Headers],[Fuel combusted]],0)</f>
        <v>Refinery gas and liquids</v>
      </c>
      <c r="E70" s="236" cm="1">
        <f t="array" ref="E70">Common_InputFunctions.Utility_DisplayArrayInTable(Fuel_SourceData.Fuel_Scope1Scope3EmissionFactorsStationaryLiquid_Data(), Table_Fuel_EFs_StationaryLiquid[[#Headers],[Fuel combusted]],0)</f>
        <v>42.9</v>
      </c>
      <c r="F70" s="236" t="str" cm="1">
        <f t="array" ref="F70">Common_InputFunctions.Utility_DisplayArrayInTable(Fuel_SourceData.Fuel_Scope1Scope3EmissionFactorsStationaryLiquid_Data(), Table_Fuel_EFs_StationaryLiquid[[#Headers],[Fuel combusted]],0)</f>
        <v>t</v>
      </c>
      <c r="G70" s="236" cm="1">
        <f t="array" ref="G70">Common_InputFunctions.Utility_DisplayArrayInTable(Fuel_SourceData.Fuel_Scope1Scope3EmissionFactorsStationaryLiquid_Data(), Table_Fuel_EFs_StationaryLiquid[[#Headers],[Fuel combusted]],0)</f>
        <v>54.7</v>
      </c>
      <c r="H70" s="236" cm="1">
        <f t="array" ref="H70">Common_InputFunctions.Utility_DisplayArrayInTable(Fuel_SourceData.Fuel_Scope1Scope3EmissionFactorsStationaryLiquid_Data(), Table_Fuel_EFs_StationaryLiquid[[#Headers],[Fuel combusted]],0)</f>
        <v>0.03</v>
      </c>
      <c r="I70" s="236" cm="1">
        <f t="array" ref="I70">Common_InputFunctions.Utility_DisplayArrayInTable(Fuel_SourceData.Fuel_Scope1Scope3EmissionFactorsStationaryLiquid_Data(), Table_Fuel_EFs_StationaryLiquid[[#Headers],[Fuel combusted]],0)</f>
        <v>0.03</v>
      </c>
      <c r="J70" s="236" cm="1">
        <f t="array" ref="J70">Common_InputFunctions.Utility_DisplayArrayInTable(Fuel_SourceData.Fuel_Scope1Scope3EmissionFactorsStationaryLiquid_Data(), Table_Fuel_EFs_StationaryLiquid[[#Headers],[Fuel combusted]],0)</f>
        <v>54.76</v>
      </c>
      <c r="K70" s="236" cm="1">
        <f t="array" ref="K70">Common_InputFunctions.Utility_DisplayArrayInTable(Fuel_SourceData.Fuel_Scope1Scope3EmissionFactorsStationaryLiquid_Data(), Table_Fuel_EFs_StationaryLiquid[[#Headers],[Fuel combusted]],0)</f>
        <v>18</v>
      </c>
      <c r="L70" s="184"/>
    </row>
    <row r="71" spans="1:13" ht="20.100000000000001" customHeight="1" x14ac:dyDescent="0.25">
      <c r="D71" s="236" t="str" cm="1">
        <f t="array" ref="D71">Common_InputFunctions.Utility_DisplayArrayInTable(Fuel_SourceData.Fuel_Scope1Scope3EmissionFactorsStationaryLiquid_Data(), Table_Fuel_EFs_StationaryLiquid[[#Headers],[Fuel combusted]],0)</f>
        <v>Refinery coke</v>
      </c>
      <c r="E71" s="236" cm="1">
        <f t="array" ref="E71">Common_InputFunctions.Utility_DisplayArrayInTable(Fuel_SourceData.Fuel_Scope1Scope3EmissionFactorsStationaryLiquid_Data(), Table_Fuel_EFs_StationaryLiquid[[#Headers],[Fuel combusted]],0)</f>
        <v>34.200000000000003</v>
      </c>
      <c r="F71" s="236" t="str" cm="1">
        <f t="array" ref="F71">Common_InputFunctions.Utility_DisplayArrayInTable(Fuel_SourceData.Fuel_Scope1Scope3EmissionFactorsStationaryLiquid_Data(), Table_Fuel_EFs_StationaryLiquid[[#Headers],[Fuel combusted]],0)</f>
        <v>t</v>
      </c>
      <c r="G71" s="236" cm="1">
        <f t="array" ref="G71">Common_InputFunctions.Utility_DisplayArrayInTable(Fuel_SourceData.Fuel_Scope1Scope3EmissionFactorsStationaryLiquid_Data(), Table_Fuel_EFs_StationaryLiquid[[#Headers],[Fuel combusted]],0)</f>
        <v>92.6</v>
      </c>
      <c r="H71" s="236" cm="1">
        <f t="array" ref="H71">Common_InputFunctions.Utility_DisplayArrayInTable(Fuel_SourceData.Fuel_Scope1Scope3EmissionFactorsStationaryLiquid_Data(), Table_Fuel_EFs_StationaryLiquid[[#Headers],[Fuel combusted]],0)</f>
        <v>0.08</v>
      </c>
      <c r="I71" s="236" cm="1">
        <f t="array" ref="I71">Common_InputFunctions.Utility_DisplayArrayInTable(Fuel_SourceData.Fuel_Scope1Scope3EmissionFactorsStationaryLiquid_Data(), Table_Fuel_EFs_StationaryLiquid[[#Headers],[Fuel combusted]],0)</f>
        <v>0.2</v>
      </c>
      <c r="J71" s="236" cm="1">
        <f t="array" ref="J71">Common_InputFunctions.Utility_DisplayArrayInTable(Fuel_SourceData.Fuel_Scope1Scope3EmissionFactorsStationaryLiquid_Data(), Table_Fuel_EFs_StationaryLiquid[[#Headers],[Fuel combusted]],0)</f>
        <v>92.88</v>
      </c>
      <c r="K71" s="236" cm="1">
        <f t="array" ref="K71">Common_InputFunctions.Utility_DisplayArrayInTable(Fuel_SourceData.Fuel_Scope1Scope3EmissionFactorsStationaryLiquid_Data(), Table_Fuel_EFs_StationaryLiquid[[#Headers],[Fuel combusted]],0)</f>
        <v>18</v>
      </c>
      <c r="L71" s="184"/>
    </row>
    <row r="72" spans="1:13" ht="20.100000000000001" customHeight="1" x14ac:dyDescent="0.25">
      <c r="D72" s="236" t="str" cm="1">
        <f t="array" ref="D72">Common_InputFunctions.Utility_DisplayArrayInTable(Fuel_SourceData.Fuel_Scope1Scope3EmissionFactorsStationaryLiquid_Data(), Table_Fuel_EFs_StationaryLiquid[[#Headers],[Fuel combusted]],0)</f>
        <v>Petroleum based products other than mentioned in the items above</v>
      </c>
      <c r="E72" s="236" cm="1">
        <f t="array" ref="E72">Common_InputFunctions.Utility_DisplayArrayInTable(Fuel_SourceData.Fuel_Scope1Scope3EmissionFactorsStationaryLiquid_Data(), Table_Fuel_EFs_StationaryLiquid[[#Headers],[Fuel combusted]],0)</f>
        <v>34.4</v>
      </c>
      <c r="F72" s="236" t="str" cm="1">
        <f t="array" ref="F72">Common_InputFunctions.Utility_DisplayArrayInTable(Fuel_SourceData.Fuel_Scope1Scope3EmissionFactorsStationaryLiquid_Data(), Table_Fuel_EFs_StationaryLiquid[[#Headers],[Fuel combusted]],0)</f>
        <v>kL</v>
      </c>
      <c r="G72" s="236" cm="1">
        <f t="array" ref="G72">Common_InputFunctions.Utility_DisplayArrayInTable(Fuel_SourceData.Fuel_Scope1Scope3EmissionFactorsStationaryLiquid_Data(), Table_Fuel_EFs_StationaryLiquid[[#Headers],[Fuel combusted]],0)</f>
        <v>69.8</v>
      </c>
      <c r="H72" s="236" cm="1">
        <f t="array" ref="H72">Common_InputFunctions.Utility_DisplayArrayInTable(Fuel_SourceData.Fuel_Scope1Scope3EmissionFactorsStationaryLiquid_Data(), Table_Fuel_EFs_StationaryLiquid[[#Headers],[Fuel combusted]],0)</f>
        <v>0.02</v>
      </c>
      <c r="I72" s="236" cm="1">
        <f t="array" ref="I72">Common_InputFunctions.Utility_DisplayArrayInTable(Fuel_SourceData.Fuel_Scope1Scope3EmissionFactorsStationaryLiquid_Data(), Table_Fuel_EFs_StationaryLiquid[[#Headers],[Fuel combusted]],0)</f>
        <v>0.1</v>
      </c>
      <c r="J72" s="236" cm="1">
        <f t="array" ref="J72">Common_InputFunctions.Utility_DisplayArrayInTable(Fuel_SourceData.Fuel_Scope1Scope3EmissionFactorsStationaryLiquid_Data(), Table_Fuel_EFs_StationaryLiquid[[#Headers],[Fuel combusted]],0)</f>
        <v>69.92</v>
      </c>
      <c r="K72" s="236" cm="1">
        <f t="array" ref="K72">Common_InputFunctions.Utility_DisplayArrayInTable(Fuel_SourceData.Fuel_Scope1Scope3EmissionFactorsStationaryLiquid_Data(), Table_Fuel_EFs_StationaryLiquid[[#Headers],[Fuel combusted]],0)</f>
        <v>18</v>
      </c>
      <c r="L72" s="184"/>
    </row>
    <row r="73" spans="1:13" ht="20.100000000000001" customHeight="1" x14ac:dyDescent="0.25">
      <c r="D73" s="236" t="str" cm="1">
        <f t="array" ref="D73">Common_InputFunctions.Utility_DisplayArrayInTable(Fuel_SourceData.Fuel_Scope1Scope3EmissionFactorsStationaryLiquid_Data(), Table_Fuel_EFs_StationaryLiquid[[#Headers],[Fuel combusted]],0)</f>
        <v>Biodiesel</v>
      </c>
      <c r="E73" s="236" cm="1">
        <f t="array" ref="E73">Common_InputFunctions.Utility_DisplayArrayInTable(Fuel_SourceData.Fuel_Scope1Scope3EmissionFactorsStationaryLiquid_Data(), Table_Fuel_EFs_StationaryLiquid[[#Headers],[Fuel combusted]],0)</f>
        <v>34.6</v>
      </c>
      <c r="F73" s="236" t="str" cm="1">
        <f t="array" ref="F73">Common_InputFunctions.Utility_DisplayArrayInTable(Fuel_SourceData.Fuel_Scope1Scope3EmissionFactorsStationaryLiquid_Data(), Table_Fuel_EFs_StationaryLiquid[[#Headers],[Fuel combusted]],0)</f>
        <v>kL</v>
      </c>
      <c r="G73" s="236" cm="1">
        <f t="array" ref="G73">Common_InputFunctions.Utility_DisplayArrayInTable(Fuel_SourceData.Fuel_Scope1Scope3EmissionFactorsStationaryLiquid_Data(), Table_Fuel_EFs_StationaryLiquid[[#Headers],[Fuel combusted]],0)</f>
        <v>0</v>
      </c>
      <c r="H73" s="236" cm="1">
        <f t="array" ref="H73">Common_InputFunctions.Utility_DisplayArrayInTable(Fuel_SourceData.Fuel_Scope1Scope3EmissionFactorsStationaryLiquid_Data(), Table_Fuel_EFs_StationaryLiquid[[#Headers],[Fuel combusted]],0)</f>
        <v>0.08</v>
      </c>
      <c r="I73" s="236" cm="1">
        <f t="array" ref="I73">Common_InputFunctions.Utility_DisplayArrayInTable(Fuel_SourceData.Fuel_Scope1Scope3EmissionFactorsStationaryLiquid_Data(), Table_Fuel_EFs_StationaryLiquid[[#Headers],[Fuel combusted]],0)</f>
        <v>0.2</v>
      </c>
      <c r="J73" s="236" cm="1">
        <f t="array" ref="J73">Common_InputFunctions.Utility_DisplayArrayInTable(Fuel_SourceData.Fuel_Scope1Scope3EmissionFactorsStationaryLiquid_Data(), Table_Fuel_EFs_StationaryLiquid[[#Headers],[Fuel combusted]],0)</f>
        <v>0.28000000000000003</v>
      </c>
      <c r="K73" s="236" t="str" cm="1">
        <f t="array" ref="K73">Common_InputFunctions.Utility_DisplayArrayInTable(Fuel_SourceData.Fuel_Scope1Scope3EmissionFactorsStationaryLiquid_Data(), Table_Fuel_EFs_StationaryLiquid[[#Headers],[Fuel combusted]],0)</f>
        <v>NE</v>
      </c>
      <c r="L73" s="184"/>
    </row>
    <row r="74" spans="1:13" ht="20.100000000000001" customHeight="1" x14ac:dyDescent="0.25">
      <c r="D74" s="236" t="str" cm="1">
        <f t="array" ref="D74">Common_InputFunctions.Utility_DisplayArrayInTable(Fuel_SourceData.Fuel_Scope1Scope3EmissionFactorsStationaryLiquid_Data(), Table_Fuel_EFs_StationaryLiquid[[#Headers],[Fuel combusted]],0)</f>
        <v>Ethanol for use as a fuel in an internal combustion engine</v>
      </c>
      <c r="E74" s="236" cm="1">
        <f t="array" ref="E74">Common_InputFunctions.Utility_DisplayArrayInTable(Fuel_SourceData.Fuel_Scope1Scope3EmissionFactorsStationaryLiquid_Data(), Table_Fuel_EFs_StationaryLiquid[[#Headers],[Fuel combusted]],0)</f>
        <v>23.4</v>
      </c>
      <c r="F74" s="236" t="str" cm="1">
        <f t="array" ref="F74">Common_InputFunctions.Utility_DisplayArrayInTable(Fuel_SourceData.Fuel_Scope1Scope3EmissionFactorsStationaryLiquid_Data(), Table_Fuel_EFs_StationaryLiquid[[#Headers],[Fuel combusted]],0)</f>
        <v>kL</v>
      </c>
      <c r="G74" s="236" cm="1">
        <f t="array" ref="G74">Common_InputFunctions.Utility_DisplayArrayInTable(Fuel_SourceData.Fuel_Scope1Scope3EmissionFactorsStationaryLiquid_Data(), Table_Fuel_EFs_StationaryLiquid[[#Headers],[Fuel combusted]],0)</f>
        <v>0</v>
      </c>
      <c r="H74" s="236" cm="1">
        <f t="array" ref="H74">Common_InputFunctions.Utility_DisplayArrayInTable(Fuel_SourceData.Fuel_Scope1Scope3EmissionFactorsStationaryLiquid_Data(), Table_Fuel_EFs_StationaryLiquid[[#Headers],[Fuel combusted]],0)</f>
        <v>0.08</v>
      </c>
      <c r="I74" s="236" cm="1">
        <f t="array" ref="I74">Common_InputFunctions.Utility_DisplayArrayInTable(Fuel_SourceData.Fuel_Scope1Scope3EmissionFactorsStationaryLiquid_Data(), Table_Fuel_EFs_StationaryLiquid[[#Headers],[Fuel combusted]],0)</f>
        <v>0.2</v>
      </c>
      <c r="J74" s="236" cm="1">
        <f t="array" ref="J74">Common_InputFunctions.Utility_DisplayArrayInTable(Fuel_SourceData.Fuel_Scope1Scope3EmissionFactorsStationaryLiquid_Data(), Table_Fuel_EFs_StationaryLiquid[[#Headers],[Fuel combusted]],0)</f>
        <v>0.28000000000000003</v>
      </c>
      <c r="K74" s="236" t="str" cm="1">
        <f t="array" ref="K74">Common_InputFunctions.Utility_DisplayArrayInTable(Fuel_SourceData.Fuel_Scope1Scope3EmissionFactorsStationaryLiquid_Data(), Table_Fuel_EFs_StationaryLiquid[[#Headers],[Fuel combusted]],0)</f>
        <v>NE</v>
      </c>
      <c r="L74" s="184"/>
    </row>
    <row r="75" spans="1:13" ht="20.100000000000001" customHeight="1" x14ac:dyDescent="0.25">
      <c r="D75" s="236" t="str" cm="1">
        <f t="array" ref="D75">Common_InputFunctions.Utility_DisplayArrayInTable(Fuel_SourceData.Fuel_Scope1Scope3EmissionFactorsStationaryLiquid_Data(), Table_Fuel_EFs_StationaryLiquid[[#Headers],[Fuel combusted]],0)</f>
        <v>Biofuels other than those mentioned in the items above and below</v>
      </c>
      <c r="E75" s="236" cm="1">
        <f t="array" ref="E75">Common_InputFunctions.Utility_DisplayArrayInTable(Fuel_SourceData.Fuel_Scope1Scope3EmissionFactorsStationaryLiquid_Data(), Table_Fuel_EFs_StationaryLiquid[[#Headers],[Fuel combusted]],0)</f>
        <v>23.4</v>
      </c>
      <c r="F75" s="236" t="str" cm="1">
        <f t="array" ref="F75">Common_InputFunctions.Utility_DisplayArrayInTable(Fuel_SourceData.Fuel_Scope1Scope3EmissionFactorsStationaryLiquid_Data(), Table_Fuel_EFs_StationaryLiquid[[#Headers],[Fuel combusted]],0)</f>
        <v>kL</v>
      </c>
      <c r="G75" s="236" cm="1">
        <f t="array" ref="G75">Common_InputFunctions.Utility_DisplayArrayInTable(Fuel_SourceData.Fuel_Scope1Scope3EmissionFactorsStationaryLiquid_Data(), Table_Fuel_EFs_StationaryLiquid[[#Headers],[Fuel combusted]],0)</f>
        <v>0</v>
      </c>
      <c r="H75" s="236" cm="1">
        <f t="array" ref="H75">Common_InputFunctions.Utility_DisplayArrayInTable(Fuel_SourceData.Fuel_Scope1Scope3EmissionFactorsStationaryLiquid_Data(), Table_Fuel_EFs_StationaryLiquid[[#Headers],[Fuel combusted]],0)</f>
        <v>0.08</v>
      </c>
      <c r="I75" s="236" cm="1">
        <f t="array" ref="I75">Common_InputFunctions.Utility_DisplayArrayInTable(Fuel_SourceData.Fuel_Scope1Scope3EmissionFactorsStationaryLiquid_Data(), Table_Fuel_EFs_StationaryLiquid[[#Headers],[Fuel combusted]],0)</f>
        <v>0.2</v>
      </c>
      <c r="J75" s="236" cm="1">
        <f t="array" ref="J75">Common_InputFunctions.Utility_DisplayArrayInTable(Fuel_SourceData.Fuel_Scope1Scope3EmissionFactorsStationaryLiquid_Data(), Table_Fuel_EFs_StationaryLiquid[[#Headers],[Fuel combusted]],0)</f>
        <v>0.28000000000000003</v>
      </c>
      <c r="K75" s="236" t="str" cm="1">
        <f t="array" ref="K75">Common_InputFunctions.Utility_DisplayArrayInTable(Fuel_SourceData.Fuel_Scope1Scope3EmissionFactorsStationaryLiquid_Data(), Table_Fuel_EFs_StationaryLiquid[[#Headers],[Fuel combusted]],0)</f>
        <v>NE</v>
      </c>
      <c r="L75" s="184"/>
    </row>
    <row r="76" spans="1:13" ht="20.100000000000001" customHeight="1" x14ac:dyDescent="0.25">
      <c r="D76" s="236" t="str" cm="1">
        <f t="array" ref="D76">Common_InputFunctions.Utility_DisplayArrayInTable(Fuel_SourceData.Fuel_Scope1Scope3EmissionFactorsStationaryLiquid_Data(), Table_Fuel_EFs_StationaryLiquid[[#Headers],[Fuel combusted]],0)</f>
        <v>Renewable aviation kerosene</v>
      </c>
      <c r="E76" s="236" cm="1">
        <f t="array" ref="E76">Common_InputFunctions.Utility_DisplayArrayInTable(Fuel_SourceData.Fuel_Scope1Scope3EmissionFactorsStationaryLiquid_Data(), Table_Fuel_EFs_StationaryLiquid[[#Headers],[Fuel combusted]],0)</f>
        <v>36.799999999999997</v>
      </c>
      <c r="F76" s="236" t="str" cm="1">
        <f t="array" ref="F76">Common_InputFunctions.Utility_DisplayArrayInTable(Fuel_SourceData.Fuel_Scope1Scope3EmissionFactorsStationaryLiquid_Data(), Table_Fuel_EFs_StationaryLiquid[[#Headers],[Fuel combusted]],0)</f>
        <v>kL</v>
      </c>
      <c r="G76" s="236" cm="1">
        <f t="array" ref="G76">Common_InputFunctions.Utility_DisplayArrayInTable(Fuel_SourceData.Fuel_Scope1Scope3EmissionFactorsStationaryLiquid_Data(), Table_Fuel_EFs_StationaryLiquid[[#Headers],[Fuel combusted]],0)</f>
        <v>0</v>
      </c>
      <c r="H76" s="236" cm="1">
        <f t="array" ref="H76">Common_InputFunctions.Utility_DisplayArrayInTable(Fuel_SourceData.Fuel_Scope1Scope3EmissionFactorsStationaryLiquid_Data(), Table_Fuel_EFs_StationaryLiquid[[#Headers],[Fuel combusted]],0)</f>
        <v>0.02</v>
      </c>
      <c r="I76" s="236" cm="1">
        <f t="array" ref="I76">Common_InputFunctions.Utility_DisplayArrayInTable(Fuel_SourceData.Fuel_Scope1Scope3EmissionFactorsStationaryLiquid_Data(), Table_Fuel_EFs_StationaryLiquid[[#Headers],[Fuel combusted]],0)</f>
        <v>0.2</v>
      </c>
      <c r="J76" s="236" cm="1">
        <f t="array" ref="J76">Common_InputFunctions.Utility_DisplayArrayInTable(Fuel_SourceData.Fuel_Scope1Scope3EmissionFactorsStationaryLiquid_Data(), Table_Fuel_EFs_StationaryLiquid[[#Headers],[Fuel combusted]],0)</f>
        <v>0.22</v>
      </c>
      <c r="K76" s="236" t="str" cm="1">
        <f t="array" ref="K76">Common_InputFunctions.Utility_DisplayArrayInTable(Fuel_SourceData.Fuel_Scope1Scope3EmissionFactorsStationaryLiquid_Data(), Table_Fuel_EFs_StationaryLiquid[[#Headers],[Fuel combusted]],0)</f>
        <v>NE</v>
      </c>
      <c r="L76" s="184"/>
    </row>
    <row r="77" spans="1:13" ht="20.100000000000001" customHeight="1" x14ac:dyDescent="0.25">
      <c r="D77" s="236" t="str" cm="1">
        <f t="array" ref="D77">Common_InputFunctions.Utility_DisplayArrayInTable(Fuel_SourceData.Fuel_Scope1Scope3EmissionFactorsStationaryLiquid_Data(), Table_Fuel_EFs_StationaryLiquid[[#Headers],[Fuel combusted]],0)</f>
        <v>Renewable diesel</v>
      </c>
      <c r="E77" s="236" cm="1">
        <f t="array" ref="E77">Common_InputFunctions.Utility_DisplayArrayInTable(Fuel_SourceData.Fuel_Scope1Scope3EmissionFactorsStationaryLiquid_Data(), Table_Fuel_EFs_StationaryLiquid[[#Headers],[Fuel combusted]],0)</f>
        <v>38.6</v>
      </c>
      <c r="F77" s="236" t="str" cm="1">
        <f t="array" ref="F77">Common_InputFunctions.Utility_DisplayArrayInTable(Fuel_SourceData.Fuel_Scope1Scope3EmissionFactorsStationaryLiquid_Data(), Table_Fuel_EFs_StationaryLiquid[[#Headers],[Fuel combusted]],0)</f>
        <v>kL</v>
      </c>
      <c r="G77" s="236" cm="1">
        <f t="array" ref="G77">Common_InputFunctions.Utility_DisplayArrayInTable(Fuel_SourceData.Fuel_Scope1Scope3EmissionFactorsStationaryLiquid_Data(), Table_Fuel_EFs_StationaryLiquid[[#Headers],[Fuel combusted]],0)</f>
        <v>0</v>
      </c>
      <c r="H77" s="236" cm="1">
        <f t="array" ref="H77">Common_InputFunctions.Utility_DisplayArrayInTable(Fuel_SourceData.Fuel_Scope1Scope3EmissionFactorsStationaryLiquid_Data(), Table_Fuel_EFs_StationaryLiquid[[#Headers],[Fuel combusted]],0)</f>
        <v>0.1</v>
      </c>
      <c r="I77" s="236" cm="1">
        <f t="array" ref="I77">Common_InputFunctions.Utility_DisplayArrayInTable(Fuel_SourceData.Fuel_Scope1Scope3EmissionFactorsStationaryLiquid_Data(), Table_Fuel_EFs_StationaryLiquid[[#Headers],[Fuel combusted]],0)</f>
        <v>0.2</v>
      </c>
      <c r="J77" s="236" cm="1">
        <f t="array" ref="J77">Common_InputFunctions.Utility_DisplayArrayInTable(Fuel_SourceData.Fuel_Scope1Scope3EmissionFactorsStationaryLiquid_Data(), Table_Fuel_EFs_StationaryLiquid[[#Headers],[Fuel combusted]],0)</f>
        <v>0.3</v>
      </c>
      <c r="K77" s="236" t="str" cm="1">
        <f t="array" ref="K77">Common_InputFunctions.Utility_DisplayArrayInTable(Fuel_SourceData.Fuel_Scope1Scope3EmissionFactorsStationaryLiquid_Data(), Table_Fuel_EFs_StationaryLiquid[[#Headers],[Fuel combusted]],0)</f>
        <v>NE</v>
      </c>
      <c r="L77" s="184"/>
    </row>
    <row r="78" spans="1:13" ht="20.100000000000001" customHeight="1" x14ac:dyDescent="0.25">
      <c r="D78" s="184"/>
      <c r="E78" s="184"/>
      <c r="F78" s="184"/>
      <c r="G78" s="184"/>
      <c r="H78" s="184"/>
      <c r="I78" s="184"/>
      <c r="J78" s="184"/>
      <c r="K78" s="184"/>
      <c r="L78" s="184"/>
    </row>
    <row r="79" spans="1:13" ht="20.100000000000001" customHeight="1" x14ac:dyDescent="0.25">
      <c r="D79" s="184"/>
      <c r="E79" s="184"/>
      <c r="F79" s="184"/>
      <c r="G79" s="184"/>
      <c r="H79" s="184"/>
      <c r="I79" s="184"/>
      <c r="J79" s="184"/>
      <c r="K79" s="184"/>
      <c r="L79" s="184"/>
      <c r="M79" s="184"/>
    </row>
    <row r="80" spans="1:13" ht="20.100000000000001" customHeight="1" x14ac:dyDescent="0.25">
      <c r="D80" s="184"/>
      <c r="E80" s="184"/>
      <c r="F80" s="184"/>
      <c r="G80" s="184"/>
      <c r="H80" s="184"/>
      <c r="I80" s="184"/>
      <c r="J80" s="184"/>
      <c r="K80" s="184"/>
      <c r="L80" s="184"/>
      <c r="M80" s="184"/>
    </row>
    <row r="81" spans="4:12" ht="20.100000000000001" customHeight="1" x14ac:dyDescent="0.25">
      <c r="D81" s="2" t="str" cm="1">
        <f t="array" ref="D81">Fuel_SourceData.Fuel_Scope1EmissionFactorsStationaryGaseous_Title()</f>
        <v>Fuel scope 1 emission factors - Stationary gaseous fuels</v>
      </c>
      <c r="E81" s="184"/>
      <c r="F81" s="184"/>
      <c r="G81" s="184"/>
      <c r="H81" s="184"/>
      <c r="I81" s="184"/>
      <c r="J81" s="184"/>
      <c r="K81" s="184"/>
      <c r="L81" s="184"/>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84"/>
      <c r="F82" s="184"/>
      <c r="G82" s="184"/>
      <c r="H82" s="184"/>
      <c r="I82" s="184"/>
      <c r="J82" s="184"/>
      <c r="K82" s="184"/>
      <c r="L82" s="184"/>
    </row>
    <row r="83" spans="4:12" ht="20.100000000000001" customHeight="1" x14ac:dyDescent="0.25">
      <c r="D83" s="17" t="str" cm="1">
        <f t="array" ref="D83">Fuel_SourceData.Fuel_Scope1EmissionFactorsStationaryGaseous_Source()</f>
        <v>Australian National Greenhouse Accounts Factors 2025 - Table 5</v>
      </c>
      <c r="E83" s="184"/>
      <c r="F83" s="184"/>
      <c r="G83" s="184"/>
      <c r="H83" s="184"/>
      <c r="I83" s="184"/>
      <c r="J83" s="184"/>
      <c r="K83" s="184"/>
      <c r="L83" s="184"/>
    </row>
    <row r="84" spans="4:12" ht="20.100000000000001" customHeight="1" x14ac:dyDescent="0.25">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84"/>
      <c r="F84" s="184"/>
      <c r="G84" s="184"/>
      <c r="H84" s="184"/>
      <c r="I84" s="184"/>
      <c r="J84" s="184"/>
      <c r="K84" s="184"/>
      <c r="L84" s="184"/>
    </row>
    <row r="85" spans="4:12" ht="20.100000000000001" customHeight="1" x14ac:dyDescent="0.25">
      <c r="D85" s="184"/>
      <c r="E85" s="184"/>
      <c r="F85" s="184"/>
      <c r="G85" s="184"/>
      <c r="H85" s="184"/>
      <c r="I85" s="184"/>
      <c r="J85" s="184"/>
      <c r="K85" s="184"/>
      <c r="L85" s="184"/>
    </row>
    <row r="86" spans="4:12" ht="20.100000000000001" customHeight="1" x14ac:dyDescent="0.25">
      <c r="D86" s="201" t="s">
        <v>922</v>
      </c>
      <c r="E86" s="233" t="s">
        <v>923</v>
      </c>
      <c r="F86" s="201" t="s">
        <v>924</v>
      </c>
      <c r="G86" s="233" t="s">
        <v>925</v>
      </c>
      <c r="H86" s="233" t="s">
        <v>926</v>
      </c>
      <c r="I86" s="233" t="s">
        <v>927</v>
      </c>
      <c r="J86" s="233" t="s">
        <v>928</v>
      </c>
      <c r="K86" s="184"/>
      <c r="L86" s="184"/>
    </row>
    <row r="87" spans="4:12" ht="20.100000000000001" customHeight="1" x14ac:dyDescent="0.25">
      <c r="D87" s="236" t="str" cm="1">
        <f t="array" ref="D87">Common_InputFunctions.Utility_DisplayArrayInTable(Fuel_SourceData.Fuel_Scope1EmissionFactorsStationaryGaseous_Data(), Table_Fuel_EFs_StationaryGaseous[[#Headers],[Fuel combusted]],0)</f>
        <v>Natural gas distributed in a pipeline</v>
      </c>
      <c r="E87" s="236" cm="1">
        <f t="array" ref="E87">Common_InputFunctions.Utility_DisplayArrayInTable(Fuel_SourceData.Fuel_Scope1EmissionFactorsStationaryGaseous_Data(), Table_Fuel_EFs_StationaryGaseous[[#Headers],[Fuel combusted]],0)</f>
        <v>3.9300000000000002E-2</v>
      </c>
      <c r="F87" s="236" t="str" cm="1">
        <f t="array" ref="F87">Common_InputFunctions.Utility_DisplayArrayInTable(Fuel_SourceData.Fuel_Scope1EmissionFactorsStationaryGaseous_Data(), Table_Fuel_EFs_StationaryGaseous[[#Headers],[Fuel combusted]],0)</f>
        <v>m3</v>
      </c>
      <c r="G87" s="236" cm="1">
        <f t="array" ref="G87">Common_InputFunctions.Utility_DisplayArrayInTable(Fuel_SourceData.Fuel_Scope1EmissionFactorsStationaryGaseous_Data(), Table_Fuel_EFs_StationaryGaseous[[#Headers],[Fuel combusted]],0)</f>
        <v>51.4</v>
      </c>
      <c r="H87" s="236" cm="1">
        <f t="array" ref="H87">Common_InputFunctions.Utility_DisplayArrayInTable(Fuel_SourceData.Fuel_Scope1EmissionFactorsStationaryGaseous_Data(), Table_Fuel_EFs_StationaryGaseous[[#Headers],[Fuel combusted]],0)</f>
        <v>0.1</v>
      </c>
      <c r="I87" s="236" cm="1">
        <f t="array" ref="I87">Common_InputFunctions.Utility_DisplayArrayInTable(Fuel_SourceData.Fuel_Scope1EmissionFactorsStationaryGaseous_Data(), Table_Fuel_EFs_StationaryGaseous[[#Headers],[Fuel combusted]],0)</f>
        <v>0.03</v>
      </c>
      <c r="J87" s="236" cm="1">
        <f t="array" ref="J87">Common_InputFunctions.Utility_DisplayArrayInTable(Fuel_SourceData.Fuel_Scope1EmissionFactorsStationaryGaseous_Data(), Table_Fuel_EFs_StationaryGaseous[[#Headers],[Fuel combusted]],0)</f>
        <v>51.53</v>
      </c>
      <c r="K87" s="184"/>
      <c r="L87" s="184"/>
    </row>
    <row r="88" spans="4:12" ht="20.100000000000001" customHeight="1" x14ac:dyDescent="0.25">
      <c r="D88" s="236" t="str" cm="1">
        <f t="array" ref="D88">Common_InputFunctions.Utility_DisplayArrayInTable(Fuel_SourceData.Fuel_Scope1EmissionFactorsStationaryGaseous_Data(), Table_Fuel_EFs_StationaryGaseous[[#Headers],[Fuel combusted]],0)</f>
        <v>Coal seam methane that is captured for combustion</v>
      </c>
      <c r="E88" s="236" cm="1">
        <f t="array" ref="E88">Common_InputFunctions.Utility_DisplayArrayInTable(Fuel_SourceData.Fuel_Scope1EmissionFactorsStationaryGaseous_Data(), Table_Fuel_EFs_StationaryGaseous[[#Headers],[Fuel combusted]],0)</f>
        <v>3.7699999999999997E-2</v>
      </c>
      <c r="F88" s="236" t="str" cm="1">
        <f t="array" ref="F88">Common_InputFunctions.Utility_DisplayArrayInTable(Fuel_SourceData.Fuel_Scope1EmissionFactorsStationaryGaseous_Data(), Table_Fuel_EFs_StationaryGaseous[[#Headers],[Fuel combusted]],0)</f>
        <v>m3</v>
      </c>
      <c r="G88" s="236" cm="1">
        <f t="array" ref="G88">Common_InputFunctions.Utility_DisplayArrayInTable(Fuel_SourceData.Fuel_Scope1EmissionFactorsStationaryGaseous_Data(), Table_Fuel_EFs_StationaryGaseous[[#Headers],[Fuel combusted]],0)</f>
        <v>51.4</v>
      </c>
      <c r="H88" s="236" cm="1">
        <f t="array" ref="H88">Common_InputFunctions.Utility_DisplayArrayInTable(Fuel_SourceData.Fuel_Scope1EmissionFactorsStationaryGaseous_Data(), Table_Fuel_EFs_StationaryGaseous[[#Headers],[Fuel combusted]],0)</f>
        <v>0.2</v>
      </c>
      <c r="I88" s="236" cm="1">
        <f t="array" ref="I88">Common_InputFunctions.Utility_DisplayArrayInTable(Fuel_SourceData.Fuel_Scope1EmissionFactorsStationaryGaseous_Data(), Table_Fuel_EFs_StationaryGaseous[[#Headers],[Fuel combusted]],0)</f>
        <v>0.03</v>
      </c>
      <c r="J88" s="236" cm="1">
        <f t="array" ref="J88">Common_InputFunctions.Utility_DisplayArrayInTable(Fuel_SourceData.Fuel_Scope1EmissionFactorsStationaryGaseous_Data(), Table_Fuel_EFs_StationaryGaseous[[#Headers],[Fuel combusted]],0)</f>
        <v>51.63</v>
      </c>
      <c r="K88" s="184"/>
      <c r="L88" s="184"/>
    </row>
    <row r="89" spans="4:12" ht="20.100000000000001" customHeight="1" x14ac:dyDescent="0.25">
      <c r="D89" s="236" t="str" cm="1">
        <f t="array" ref="D89">Common_InputFunctions.Utility_DisplayArrayInTable(Fuel_SourceData.Fuel_Scope1EmissionFactorsStationaryGaseous_Data(), Table_Fuel_EFs_StationaryGaseous[[#Headers],[Fuel combusted]],0)</f>
        <v>Coal mine waste gas that is captured for combustion</v>
      </c>
      <c r="E89" s="236" cm="1">
        <f t="array" ref="E89">Common_InputFunctions.Utility_DisplayArrayInTable(Fuel_SourceData.Fuel_Scope1EmissionFactorsStationaryGaseous_Data(), Table_Fuel_EFs_StationaryGaseous[[#Headers],[Fuel combusted]],0)</f>
        <v>3.7699999999999997E-2</v>
      </c>
      <c r="F89" s="236" t="str" cm="1">
        <f t="array" ref="F89">Common_InputFunctions.Utility_DisplayArrayInTable(Fuel_SourceData.Fuel_Scope1EmissionFactorsStationaryGaseous_Data(), Table_Fuel_EFs_StationaryGaseous[[#Headers],[Fuel combusted]],0)</f>
        <v>m3</v>
      </c>
      <c r="G89" s="236" cm="1">
        <f t="array" ref="G89">Common_InputFunctions.Utility_DisplayArrayInTable(Fuel_SourceData.Fuel_Scope1EmissionFactorsStationaryGaseous_Data(), Table_Fuel_EFs_StationaryGaseous[[#Headers],[Fuel combusted]],0)</f>
        <v>51.9</v>
      </c>
      <c r="H89" s="236" cm="1">
        <f t="array" ref="H89">Common_InputFunctions.Utility_DisplayArrayInTable(Fuel_SourceData.Fuel_Scope1EmissionFactorsStationaryGaseous_Data(), Table_Fuel_EFs_StationaryGaseous[[#Headers],[Fuel combusted]],0)</f>
        <v>4.5999999999999996</v>
      </c>
      <c r="I89" s="236" cm="1">
        <f t="array" ref="I89">Common_InputFunctions.Utility_DisplayArrayInTable(Fuel_SourceData.Fuel_Scope1EmissionFactorsStationaryGaseous_Data(), Table_Fuel_EFs_StationaryGaseous[[#Headers],[Fuel combusted]],0)</f>
        <v>0.3</v>
      </c>
      <c r="J89" s="236" cm="1">
        <f t="array" ref="J89">Common_InputFunctions.Utility_DisplayArrayInTable(Fuel_SourceData.Fuel_Scope1EmissionFactorsStationaryGaseous_Data(), Table_Fuel_EFs_StationaryGaseous[[#Headers],[Fuel combusted]],0)</f>
        <v>56.8</v>
      </c>
      <c r="K89" s="184"/>
      <c r="L89" s="184"/>
    </row>
    <row r="90" spans="4:12" ht="20.100000000000001" customHeight="1" x14ac:dyDescent="0.25">
      <c r="D90" s="236" t="str" cm="1">
        <f t="array" ref="D90">Common_InputFunctions.Utility_DisplayArrayInTable(Fuel_SourceData.Fuel_Scope1EmissionFactorsStationaryGaseous_Data(), Table_Fuel_EFs_StationaryGaseous[[#Headers],[Fuel combusted]],0)</f>
        <v>Compressed natural gas(reverting to standard conditions)</v>
      </c>
      <c r="E90" s="236" cm="1">
        <f t="array" ref="E90">Common_InputFunctions.Utility_DisplayArrayInTable(Fuel_SourceData.Fuel_Scope1EmissionFactorsStationaryGaseous_Data(), Table_Fuel_EFs_StationaryGaseous[[#Headers],[Fuel combusted]],0)</f>
        <v>3.9300000000000002E-2</v>
      </c>
      <c r="F90" s="236" t="str" cm="1">
        <f t="array" ref="F90">Common_InputFunctions.Utility_DisplayArrayInTable(Fuel_SourceData.Fuel_Scope1EmissionFactorsStationaryGaseous_Data(), Table_Fuel_EFs_StationaryGaseous[[#Headers],[Fuel combusted]],0)</f>
        <v>m3</v>
      </c>
      <c r="G90" s="236" cm="1">
        <f t="array" ref="G90">Common_InputFunctions.Utility_DisplayArrayInTable(Fuel_SourceData.Fuel_Scope1EmissionFactorsStationaryGaseous_Data(), Table_Fuel_EFs_StationaryGaseous[[#Headers],[Fuel combusted]],0)</f>
        <v>51.4</v>
      </c>
      <c r="H90" s="236" cm="1">
        <f t="array" ref="H90">Common_InputFunctions.Utility_DisplayArrayInTable(Fuel_SourceData.Fuel_Scope1EmissionFactorsStationaryGaseous_Data(), Table_Fuel_EFs_StationaryGaseous[[#Headers],[Fuel combusted]],0)</f>
        <v>0.1</v>
      </c>
      <c r="I90" s="236" cm="1">
        <f t="array" ref="I90">Common_InputFunctions.Utility_DisplayArrayInTable(Fuel_SourceData.Fuel_Scope1EmissionFactorsStationaryGaseous_Data(), Table_Fuel_EFs_StationaryGaseous[[#Headers],[Fuel combusted]],0)</f>
        <v>0.03</v>
      </c>
      <c r="J90" s="236" cm="1">
        <f t="array" ref="J90">Common_InputFunctions.Utility_DisplayArrayInTable(Fuel_SourceData.Fuel_Scope1EmissionFactorsStationaryGaseous_Data(), Table_Fuel_EFs_StationaryGaseous[[#Headers],[Fuel combusted]],0)</f>
        <v>51.53</v>
      </c>
      <c r="K90" s="184"/>
      <c r="L90" s="184"/>
    </row>
    <row r="91" spans="4:12" ht="20.100000000000001" customHeight="1" x14ac:dyDescent="0.25">
      <c r="D91" s="236" t="str" cm="1">
        <f t="array" ref="D91">Common_InputFunctions.Utility_DisplayArrayInTable(Fuel_SourceData.Fuel_Scope1EmissionFactorsStationaryGaseous_Data(), Table_Fuel_EFs_StationaryGaseous[[#Headers],[Fuel combusted]],0)</f>
        <v>Unprocessed natural gas</v>
      </c>
      <c r="E91" s="236" cm="1">
        <f t="array" ref="E91">Common_InputFunctions.Utility_DisplayArrayInTable(Fuel_SourceData.Fuel_Scope1EmissionFactorsStationaryGaseous_Data(), Table_Fuel_EFs_StationaryGaseous[[#Headers],[Fuel combusted]],0)</f>
        <v>3.9300000000000002E-2</v>
      </c>
      <c r="F91" s="236" t="str" cm="1">
        <f t="array" ref="F91">Common_InputFunctions.Utility_DisplayArrayInTable(Fuel_SourceData.Fuel_Scope1EmissionFactorsStationaryGaseous_Data(), Table_Fuel_EFs_StationaryGaseous[[#Headers],[Fuel combusted]],0)</f>
        <v>m3</v>
      </c>
      <c r="G91" s="236" cm="1">
        <f t="array" ref="G91">Common_InputFunctions.Utility_DisplayArrayInTable(Fuel_SourceData.Fuel_Scope1EmissionFactorsStationaryGaseous_Data(), Table_Fuel_EFs_StationaryGaseous[[#Headers],[Fuel combusted]],0)</f>
        <v>51.4</v>
      </c>
      <c r="H91" s="236" cm="1">
        <f t="array" ref="H91">Common_InputFunctions.Utility_DisplayArrayInTable(Fuel_SourceData.Fuel_Scope1EmissionFactorsStationaryGaseous_Data(), Table_Fuel_EFs_StationaryGaseous[[#Headers],[Fuel combusted]],0)</f>
        <v>0.1</v>
      </c>
      <c r="I91" s="236" cm="1">
        <f t="array" ref="I91">Common_InputFunctions.Utility_DisplayArrayInTable(Fuel_SourceData.Fuel_Scope1EmissionFactorsStationaryGaseous_Data(), Table_Fuel_EFs_StationaryGaseous[[#Headers],[Fuel combusted]],0)</f>
        <v>0.03</v>
      </c>
      <c r="J91" s="236" cm="1">
        <f t="array" ref="J91">Common_InputFunctions.Utility_DisplayArrayInTable(Fuel_SourceData.Fuel_Scope1EmissionFactorsStationaryGaseous_Data(), Table_Fuel_EFs_StationaryGaseous[[#Headers],[Fuel combusted]],0)</f>
        <v>51.53</v>
      </c>
      <c r="K91" s="184"/>
      <c r="L91" s="184"/>
    </row>
    <row r="92" spans="4:12" ht="20.100000000000001" customHeight="1" x14ac:dyDescent="0.25">
      <c r="D92" s="236" t="str" cm="1">
        <f t="array" ref="D92">Common_InputFunctions.Utility_DisplayArrayInTable(Fuel_SourceData.Fuel_Scope1EmissionFactorsStationaryGaseous_Data(), Table_Fuel_EFs_StationaryGaseous[[#Headers],[Fuel combusted]],0)</f>
        <v>Ethane</v>
      </c>
      <c r="E92" s="236" cm="1">
        <f t="array" ref="E92">Common_InputFunctions.Utility_DisplayArrayInTable(Fuel_SourceData.Fuel_Scope1EmissionFactorsStationaryGaseous_Data(), Table_Fuel_EFs_StationaryGaseous[[#Headers],[Fuel combusted]],0)</f>
        <v>6.2899999999999998E-2</v>
      </c>
      <c r="F92" s="236" t="str" cm="1">
        <f t="array" ref="F92">Common_InputFunctions.Utility_DisplayArrayInTable(Fuel_SourceData.Fuel_Scope1EmissionFactorsStationaryGaseous_Data(), Table_Fuel_EFs_StationaryGaseous[[#Headers],[Fuel combusted]],0)</f>
        <v>m3</v>
      </c>
      <c r="G92" s="236" cm="1">
        <f t="array" ref="G92">Common_InputFunctions.Utility_DisplayArrayInTable(Fuel_SourceData.Fuel_Scope1EmissionFactorsStationaryGaseous_Data(), Table_Fuel_EFs_StationaryGaseous[[#Headers],[Fuel combusted]],0)</f>
        <v>56.5</v>
      </c>
      <c r="H92" s="236" cm="1">
        <f t="array" ref="H92">Common_InputFunctions.Utility_DisplayArrayInTable(Fuel_SourceData.Fuel_Scope1EmissionFactorsStationaryGaseous_Data(), Table_Fuel_EFs_StationaryGaseous[[#Headers],[Fuel combusted]],0)</f>
        <v>0.03</v>
      </c>
      <c r="I92" s="236" cm="1">
        <f t="array" ref="I92">Common_InputFunctions.Utility_DisplayArrayInTable(Fuel_SourceData.Fuel_Scope1EmissionFactorsStationaryGaseous_Data(), Table_Fuel_EFs_StationaryGaseous[[#Headers],[Fuel combusted]],0)</f>
        <v>0.03</v>
      </c>
      <c r="J92" s="236" cm="1">
        <f t="array" ref="J92">Common_InputFunctions.Utility_DisplayArrayInTable(Fuel_SourceData.Fuel_Scope1EmissionFactorsStationaryGaseous_Data(), Table_Fuel_EFs_StationaryGaseous[[#Headers],[Fuel combusted]],0)</f>
        <v>56.56</v>
      </c>
      <c r="K92" s="184"/>
      <c r="L92" s="184"/>
    </row>
    <row r="93" spans="4:12" ht="20.100000000000001" customHeight="1" x14ac:dyDescent="0.25">
      <c r="D93" s="236" t="str" cm="1">
        <f t="array" ref="D93">Common_InputFunctions.Utility_DisplayArrayInTable(Fuel_SourceData.Fuel_Scope1EmissionFactorsStationaryGaseous_Data(), Table_Fuel_EFs_StationaryGaseous[[#Headers],[Fuel combusted]],0)</f>
        <v>Coke oven gas</v>
      </c>
      <c r="E93" s="236" cm="1">
        <f t="array" ref="E93">Common_InputFunctions.Utility_DisplayArrayInTable(Fuel_SourceData.Fuel_Scope1EmissionFactorsStationaryGaseous_Data(), Table_Fuel_EFs_StationaryGaseous[[#Headers],[Fuel combusted]],0)</f>
        <v>1.8100000000000002E-2</v>
      </c>
      <c r="F93" s="236" t="str" cm="1">
        <f t="array" ref="F93">Common_InputFunctions.Utility_DisplayArrayInTable(Fuel_SourceData.Fuel_Scope1EmissionFactorsStationaryGaseous_Data(), Table_Fuel_EFs_StationaryGaseous[[#Headers],[Fuel combusted]],0)</f>
        <v>m3</v>
      </c>
      <c r="G93" s="236" cm="1">
        <f t="array" ref="G93">Common_InputFunctions.Utility_DisplayArrayInTable(Fuel_SourceData.Fuel_Scope1EmissionFactorsStationaryGaseous_Data(), Table_Fuel_EFs_StationaryGaseous[[#Headers],[Fuel combusted]],0)</f>
        <v>37</v>
      </c>
      <c r="H93" s="236" cm="1">
        <f t="array" ref="H93">Common_InputFunctions.Utility_DisplayArrayInTable(Fuel_SourceData.Fuel_Scope1EmissionFactorsStationaryGaseous_Data(), Table_Fuel_EFs_StationaryGaseous[[#Headers],[Fuel combusted]],0)</f>
        <v>0.03</v>
      </c>
      <c r="I93" s="236" cm="1">
        <f t="array" ref="I93">Common_InputFunctions.Utility_DisplayArrayInTable(Fuel_SourceData.Fuel_Scope1EmissionFactorsStationaryGaseous_Data(), Table_Fuel_EFs_StationaryGaseous[[#Headers],[Fuel combusted]],0)</f>
        <v>0.05</v>
      </c>
      <c r="J93" s="236" cm="1">
        <f t="array" ref="J93">Common_InputFunctions.Utility_DisplayArrayInTable(Fuel_SourceData.Fuel_Scope1EmissionFactorsStationaryGaseous_Data(), Table_Fuel_EFs_StationaryGaseous[[#Headers],[Fuel combusted]],0)</f>
        <v>37.08</v>
      </c>
      <c r="K93" s="184"/>
      <c r="L93" s="184"/>
    </row>
    <row r="94" spans="4:12" ht="20.100000000000001" customHeight="1" x14ac:dyDescent="0.25">
      <c r="D94" s="236" t="str" cm="1">
        <f t="array" ref="D94">Common_InputFunctions.Utility_DisplayArrayInTable(Fuel_SourceData.Fuel_Scope1EmissionFactorsStationaryGaseous_Data(), Table_Fuel_EFs_StationaryGaseous[[#Headers],[Fuel combusted]],0)</f>
        <v>Blast furnace gas</v>
      </c>
      <c r="E94" s="236" cm="1">
        <f t="array" ref="E94">Common_InputFunctions.Utility_DisplayArrayInTable(Fuel_SourceData.Fuel_Scope1EmissionFactorsStationaryGaseous_Data(), Table_Fuel_EFs_StationaryGaseous[[#Headers],[Fuel combusted]],0)</f>
        <v>4.0000000000000001E-3</v>
      </c>
      <c r="F94" s="236" t="str" cm="1">
        <f t="array" ref="F94">Common_InputFunctions.Utility_DisplayArrayInTable(Fuel_SourceData.Fuel_Scope1EmissionFactorsStationaryGaseous_Data(), Table_Fuel_EFs_StationaryGaseous[[#Headers],[Fuel combusted]],0)</f>
        <v>m3</v>
      </c>
      <c r="G94" s="236" cm="1">
        <f t="array" ref="G94">Common_InputFunctions.Utility_DisplayArrayInTable(Fuel_SourceData.Fuel_Scope1EmissionFactorsStationaryGaseous_Data(), Table_Fuel_EFs_StationaryGaseous[[#Headers],[Fuel combusted]],0)</f>
        <v>234</v>
      </c>
      <c r="H94" s="236" cm="1">
        <f t="array" ref="H94">Common_InputFunctions.Utility_DisplayArrayInTable(Fuel_SourceData.Fuel_Scope1EmissionFactorsStationaryGaseous_Data(), Table_Fuel_EFs_StationaryGaseous[[#Headers],[Fuel combusted]],0)</f>
        <v>0.03</v>
      </c>
      <c r="I94" s="236" cm="1">
        <f t="array" ref="I94">Common_InputFunctions.Utility_DisplayArrayInTable(Fuel_SourceData.Fuel_Scope1EmissionFactorsStationaryGaseous_Data(), Table_Fuel_EFs_StationaryGaseous[[#Headers],[Fuel combusted]],0)</f>
        <v>0.02</v>
      </c>
      <c r="J94" s="236" cm="1">
        <f t="array" ref="J94">Common_InputFunctions.Utility_DisplayArrayInTable(Fuel_SourceData.Fuel_Scope1EmissionFactorsStationaryGaseous_Data(), Table_Fuel_EFs_StationaryGaseous[[#Headers],[Fuel combusted]],0)</f>
        <v>234.05</v>
      </c>
      <c r="K94" s="184"/>
      <c r="L94" s="184"/>
    </row>
    <row r="95" spans="4:12" ht="20.100000000000001" customHeight="1" x14ac:dyDescent="0.25">
      <c r="D95" s="236" t="str" cm="1">
        <f t="array" ref="D95">Common_InputFunctions.Utility_DisplayArrayInTable(Fuel_SourceData.Fuel_Scope1EmissionFactorsStationaryGaseous_Data(), Table_Fuel_EFs_StationaryGaseous[[#Headers],[Fuel combusted]],0)</f>
        <v>Town gas</v>
      </c>
      <c r="E95" s="236" cm="1">
        <f t="array" ref="E95">Common_InputFunctions.Utility_DisplayArrayInTable(Fuel_SourceData.Fuel_Scope1EmissionFactorsStationaryGaseous_Data(), Table_Fuel_EFs_StationaryGaseous[[#Headers],[Fuel combusted]],0)</f>
        <v>3.9E-2</v>
      </c>
      <c r="F95" s="236" t="str" cm="1">
        <f t="array" ref="F95">Common_InputFunctions.Utility_DisplayArrayInTable(Fuel_SourceData.Fuel_Scope1EmissionFactorsStationaryGaseous_Data(), Table_Fuel_EFs_StationaryGaseous[[#Headers],[Fuel combusted]],0)</f>
        <v>m3</v>
      </c>
      <c r="G95" s="236" cm="1">
        <f t="array" ref="G95">Common_InputFunctions.Utility_DisplayArrayInTable(Fuel_SourceData.Fuel_Scope1EmissionFactorsStationaryGaseous_Data(), Table_Fuel_EFs_StationaryGaseous[[#Headers],[Fuel combusted]],0)</f>
        <v>60.2</v>
      </c>
      <c r="H95" s="236" cm="1">
        <f t="array" ref="H95">Common_InputFunctions.Utility_DisplayArrayInTable(Fuel_SourceData.Fuel_Scope1EmissionFactorsStationaryGaseous_Data(), Table_Fuel_EFs_StationaryGaseous[[#Headers],[Fuel combusted]],0)</f>
        <v>0.04</v>
      </c>
      <c r="I95" s="236" cm="1">
        <f t="array" ref="I95">Common_InputFunctions.Utility_DisplayArrayInTable(Fuel_SourceData.Fuel_Scope1EmissionFactorsStationaryGaseous_Data(), Table_Fuel_EFs_StationaryGaseous[[#Headers],[Fuel combusted]],0)</f>
        <v>0.03</v>
      </c>
      <c r="J95" s="236" cm="1">
        <f t="array" ref="J95">Common_InputFunctions.Utility_DisplayArrayInTable(Fuel_SourceData.Fuel_Scope1EmissionFactorsStationaryGaseous_Data(), Table_Fuel_EFs_StationaryGaseous[[#Headers],[Fuel combusted]],0)</f>
        <v>60.27</v>
      </c>
      <c r="K95" s="184"/>
      <c r="L95" s="184"/>
    </row>
    <row r="96" spans="4:12" ht="20.100000000000001" customHeight="1" x14ac:dyDescent="0.25">
      <c r="D96" s="236" t="str" cm="1">
        <f t="array" ref="D96">Common_InputFunctions.Utility_DisplayArrayInTable(Fuel_SourceData.Fuel_Scope1EmissionFactorsStationaryGaseous_Data(), Table_Fuel_EFs_StationaryGaseous[[#Headers],[Fuel combusted]],0)</f>
        <v>Liquefied natural gas</v>
      </c>
      <c r="E96" s="236" cm="1">
        <f t="array" ref="E96">Common_InputFunctions.Utility_DisplayArrayInTable(Fuel_SourceData.Fuel_Scope1EmissionFactorsStationaryGaseous_Data(), Table_Fuel_EFs_StationaryGaseous[[#Headers],[Fuel combusted]],0)</f>
        <v>25.3</v>
      </c>
      <c r="F96" s="236" t="str" cm="1">
        <f t="array" ref="F96">Common_InputFunctions.Utility_DisplayArrayInTable(Fuel_SourceData.Fuel_Scope1EmissionFactorsStationaryGaseous_Data(), Table_Fuel_EFs_StationaryGaseous[[#Headers],[Fuel combusted]],0)</f>
        <v>kL</v>
      </c>
      <c r="G96" s="236" cm="1">
        <f t="array" ref="G96">Common_InputFunctions.Utility_DisplayArrayInTable(Fuel_SourceData.Fuel_Scope1EmissionFactorsStationaryGaseous_Data(), Table_Fuel_EFs_StationaryGaseous[[#Headers],[Fuel combusted]],0)</f>
        <v>51.4</v>
      </c>
      <c r="H96" s="236" cm="1">
        <f t="array" ref="H96">Common_InputFunctions.Utility_DisplayArrayInTable(Fuel_SourceData.Fuel_Scope1EmissionFactorsStationaryGaseous_Data(), Table_Fuel_EFs_StationaryGaseous[[#Headers],[Fuel combusted]],0)</f>
        <v>0.1</v>
      </c>
      <c r="I96" s="236" cm="1">
        <f t="array" ref="I96">Common_InputFunctions.Utility_DisplayArrayInTable(Fuel_SourceData.Fuel_Scope1EmissionFactorsStationaryGaseous_Data(), Table_Fuel_EFs_StationaryGaseous[[#Headers],[Fuel combusted]],0)</f>
        <v>0.03</v>
      </c>
      <c r="J96" s="236" cm="1">
        <f t="array" ref="J96">Common_InputFunctions.Utility_DisplayArrayInTable(Fuel_SourceData.Fuel_Scope1EmissionFactorsStationaryGaseous_Data(), Table_Fuel_EFs_StationaryGaseous[[#Headers],[Fuel combusted]],0)</f>
        <v>51.53</v>
      </c>
      <c r="K96" s="184"/>
      <c r="L96" s="184"/>
    </row>
    <row r="97" spans="4:13" ht="20.100000000000001" customHeight="1" x14ac:dyDescent="0.25">
      <c r="D97" s="236" t="str" cm="1">
        <f t="array" ref="D97">Common_InputFunctions.Utility_DisplayArrayInTable(Fuel_SourceData.Fuel_Scope1EmissionFactorsStationaryGaseous_Data(), Table_Fuel_EFs_StationaryGaseous[[#Headers],[Fuel combusted]],0)</f>
        <v>Gaseous fossil fuels other than those mentioned in the items above</v>
      </c>
      <c r="E97" s="236" cm="1">
        <f t="array" ref="E97">Common_InputFunctions.Utility_DisplayArrayInTable(Fuel_SourceData.Fuel_Scope1EmissionFactorsStationaryGaseous_Data(), Table_Fuel_EFs_StationaryGaseous[[#Headers],[Fuel combusted]],0)</f>
        <v>3.9E-2</v>
      </c>
      <c r="F97" s="236" t="str" cm="1">
        <f t="array" ref="F97">Common_InputFunctions.Utility_DisplayArrayInTable(Fuel_SourceData.Fuel_Scope1EmissionFactorsStationaryGaseous_Data(), Table_Fuel_EFs_StationaryGaseous[[#Headers],[Fuel combusted]],0)</f>
        <v>m3</v>
      </c>
      <c r="G97" s="236" cm="1">
        <f t="array" ref="G97">Common_InputFunctions.Utility_DisplayArrayInTable(Fuel_SourceData.Fuel_Scope1EmissionFactorsStationaryGaseous_Data(), Table_Fuel_EFs_StationaryGaseous[[#Headers],[Fuel combusted]],0)</f>
        <v>51.4</v>
      </c>
      <c r="H97" s="236" cm="1">
        <f t="array" ref="H97">Common_InputFunctions.Utility_DisplayArrayInTable(Fuel_SourceData.Fuel_Scope1EmissionFactorsStationaryGaseous_Data(), Table_Fuel_EFs_StationaryGaseous[[#Headers],[Fuel combusted]],0)</f>
        <v>0.1</v>
      </c>
      <c r="I97" s="236" cm="1">
        <f t="array" ref="I97">Common_InputFunctions.Utility_DisplayArrayInTable(Fuel_SourceData.Fuel_Scope1EmissionFactorsStationaryGaseous_Data(), Table_Fuel_EFs_StationaryGaseous[[#Headers],[Fuel combusted]],0)</f>
        <v>0.03</v>
      </c>
      <c r="J97" s="236" cm="1">
        <f t="array" ref="J97">Common_InputFunctions.Utility_DisplayArrayInTable(Fuel_SourceData.Fuel_Scope1EmissionFactorsStationaryGaseous_Data(), Table_Fuel_EFs_StationaryGaseous[[#Headers],[Fuel combusted]],0)</f>
        <v>51.53</v>
      </c>
      <c r="K97" s="184"/>
      <c r="L97" s="184"/>
    </row>
    <row r="98" spans="4:13" ht="20.100000000000001" customHeight="1" x14ac:dyDescent="0.25">
      <c r="D98" s="236" t="str" cm="1">
        <f t="array" ref="D98">Common_InputFunctions.Utility_DisplayArrayInTable(Fuel_SourceData.Fuel_Scope1EmissionFactorsStationaryGaseous_Data(), Table_Fuel_EFs_StationaryGaseous[[#Headers],[Fuel combusted]],0)</f>
        <v>Landfill biogas that is captured for combustion (methane only)</v>
      </c>
      <c r="E98" s="236" cm="1">
        <f t="array" ref="E98">Common_InputFunctions.Utility_DisplayArrayInTable(Fuel_SourceData.Fuel_Scope1EmissionFactorsStationaryGaseous_Data(), Table_Fuel_EFs_StationaryGaseous[[#Headers],[Fuel combusted]],0)</f>
        <v>3.7699999999999997E-2</v>
      </c>
      <c r="F98" s="236" t="str" cm="1">
        <f t="array" ref="F98">Common_InputFunctions.Utility_DisplayArrayInTable(Fuel_SourceData.Fuel_Scope1EmissionFactorsStationaryGaseous_Data(), Table_Fuel_EFs_StationaryGaseous[[#Headers],[Fuel combusted]],0)</f>
        <v>m3</v>
      </c>
      <c r="G98" s="236" cm="1">
        <f t="array" ref="G98">Common_InputFunctions.Utility_DisplayArrayInTable(Fuel_SourceData.Fuel_Scope1EmissionFactorsStationaryGaseous_Data(), Table_Fuel_EFs_StationaryGaseous[[#Headers],[Fuel combusted]],0)</f>
        <v>0</v>
      </c>
      <c r="H98" s="236" cm="1">
        <f t="array" ref="H98">Common_InputFunctions.Utility_DisplayArrayInTable(Fuel_SourceData.Fuel_Scope1EmissionFactorsStationaryGaseous_Data(), Table_Fuel_EFs_StationaryGaseous[[#Headers],[Fuel combusted]],0)</f>
        <v>6.4</v>
      </c>
      <c r="I98" s="236" cm="1">
        <f t="array" ref="I98">Common_InputFunctions.Utility_DisplayArrayInTable(Fuel_SourceData.Fuel_Scope1EmissionFactorsStationaryGaseous_Data(), Table_Fuel_EFs_StationaryGaseous[[#Headers],[Fuel combusted]],0)</f>
        <v>0.03</v>
      </c>
      <c r="J98" s="236" cm="1">
        <f t="array" ref="J98">Common_InputFunctions.Utility_DisplayArrayInTable(Fuel_SourceData.Fuel_Scope1EmissionFactorsStationaryGaseous_Data(), Table_Fuel_EFs_StationaryGaseous[[#Headers],[Fuel combusted]],0)</f>
        <v>6.43</v>
      </c>
      <c r="K98" s="184"/>
      <c r="L98" s="184"/>
    </row>
    <row r="99" spans="4:13" ht="20.100000000000001" customHeight="1" x14ac:dyDescent="0.25">
      <c r="D99" s="236" t="str" cm="1">
        <f t="array" ref="D99">Common_InputFunctions.Utility_DisplayArrayInTable(Fuel_SourceData.Fuel_Scope1EmissionFactorsStationaryGaseous_Data(), Table_Fuel_EFs_StationaryGaseous[[#Headers],[Fuel combusted]],0)</f>
        <v>Sludge biogas that is captured for combustion (methane only)</v>
      </c>
      <c r="E99" s="236" cm="1">
        <f t="array" ref="E99">Common_InputFunctions.Utility_DisplayArrayInTable(Fuel_SourceData.Fuel_Scope1EmissionFactorsStationaryGaseous_Data(), Table_Fuel_EFs_StationaryGaseous[[#Headers],[Fuel combusted]],0)</f>
        <v>3.7699999999999997E-2</v>
      </c>
      <c r="F99" s="236" t="str" cm="1">
        <f t="array" ref="F99">Common_InputFunctions.Utility_DisplayArrayInTable(Fuel_SourceData.Fuel_Scope1EmissionFactorsStationaryGaseous_Data(), Table_Fuel_EFs_StationaryGaseous[[#Headers],[Fuel combusted]],0)</f>
        <v>m3</v>
      </c>
      <c r="G99" s="236" cm="1">
        <f t="array" ref="G99">Common_InputFunctions.Utility_DisplayArrayInTable(Fuel_SourceData.Fuel_Scope1EmissionFactorsStationaryGaseous_Data(), Table_Fuel_EFs_StationaryGaseous[[#Headers],[Fuel combusted]],0)</f>
        <v>0</v>
      </c>
      <c r="H99" s="236" cm="1">
        <f t="array" ref="H99">Common_InputFunctions.Utility_DisplayArrayInTable(Fuel_SourceData.Fuel_Scope1EmissionFactorsStationaryGaseous_Data(), Table_Fuel_EFs_StationaryGaseous[[#Headers],[Fuel combusted]],0)</f>
        <v>6.4</v>
      </c>
      <c r="I99" s="236" cm="1">
        <f t="array" ref="I99">Common_InputFunctions.Utility_DisplayArrayInTable(Fuel_SourceData.Fuel_Scope1EmissionFactorsStationaryGaseous_Data(), Table_Fuel_EFs_StationaryGaseous[[#Headers],[Fuel combusted]],0)</f>
        <v>0.03</v>
      </c>
      <c r="J99" s="236" cm="1">
        <f t="array" ref="J99">Common_InputFunctions.Utility_DisplayArrayInTable(Fuel_SourceData.Fuel_Scope1EmissionFactorsStationaryGaseous_Data(), Table_Fuel_EFs_StationaryGaseous[[#Headers],[Fuel combusted]],0)</f>
        <v>6.43</v>
      </c>
      <c r="K99" s="184"/>
      <c r="L99" s="184"/>
    </row>
    <row r="100" spans="4:13" ht="20.100000000000001" customHeight="1" x14ac:dyDescent="0.25">
      <c r="D100" s="23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36" cm="1">
        <f t="array" ref="E100">Common_InputFunctions.Utility_DisplayArrayInTable(Fuel_SourceData.Fuel_Scope1EmissionFactorsStationaryGaseous_Data(), Table_Fuel_EFs_StationaryGaseous[[#Headers],[Fuel combusted]],0)</f>
        <v>3.6999999999999998E-2</v>
      </c>
      <c r="F100" s="236" t="str" cm="1">
        <f t="array" ref="F100">Common_InputFunctions.Utility_DisplayArrayInTable(Fuel_SourceData.Fuel_Scope1EmissionFactorsStationaryGaseous_Data(), Table_Fuel_EFs_StationaryGaseous[[#Headers],[Fuel combusted]],0)</f>
        <v>m3</v>
      </c>
      <c r="G100" s="236" cm="1">
        <f t="array" ref="G100">Common_InputFunctions.Utility_DisplayArrayInTable(Fuel_SourceData.Fuel_Scope1EmissionFactorsStationaryGaseous_Data(), Table_Fuel_EFs_StationaryGaseous[[#Headers],[Fuel combusted]],0)</f>
        <v>0</v>
      </c>
      <c r="H100" s="236" cm="1">
        <f t="array" ref="H100">Common_InputFunctions.Utility_DisplayArrayInTable(Fuel_SourceData.Fuel_Scope1EmissionFactorsStationaryGaseous_Data(), Table_Fuel_EFs_StationaryGaseous[[#Headers],[Fuel combusted]],0)</f>
        <v>6.4</v>
      </c>
      <c r="I100" s="236" cm="1">
        <f t="array" ref="I100">Common_InputFunctions.Utility_DisplayArrayInTable(Fuel_SourceData.Fuel_Scope1EmissionFactorsStationaryGaseous_Data(), Table_Fuel_EFs_StationaryGaseous[[#Headers],[Fuel combusted]],0)</f>
        <v>0.03</v>
      </c>
      <c r="J100" s="236" cm="1">
        <f t="array" ref="J100">Common_InputFunctions.Utility_DisplayArrayInTable(Fuel_SourceData.Fuel_Scope1EmissionFactorsStationaryGaseous_Data(), Table_Fuel_EFs_StationaryGaseous[[#Headers],[Fuel combusted]],0)</f>
        <v>6.43</v>
      </c>
      <c r="K100" s="184"/>
      <c r="L100" s="184"/>
    </row>
    <row r="101" spans="4:13" ht="20.100000000000001" customHeight="1" x14ac:dyDescent="0.25">
      <c r="D101" s="236" t="str" cm="1">
        <f t="array" ref="D101">Common_InputFunctions.Utility_DisplayArrayInTable(Fuel_SourceData.Fuel_Scope1EmissionFactorsStationaryGaseous_Data(), Table_Fuel_EFs_StationaryGaseous[[#Headers],[Fuel combusted]],0)</f>
        <v>Biomethane</v>
      </c>
      <c r="E101" s="236" cm="1">
        <f t="array" ref="E101">Common_InputFunctions.Utility_DisplayArrayInTable(Fuel_SourceData.Fuel_Scope1EmissionFactorsStationaryGaseous_Data(), Table_Fuel_EFs_StationaryGaseous[[#Headers],[Fuel combusted]],0)</f>
        <v>3.9300000000000002E-2</v>
      </c>
      <c r="F101" s="236" t="str" cm="1">
        <f t="array" ref="F101">Common_InputFunctions.Utility_DisplayArrayInTable(Fuel_SourceData.Fuel_Scope1EmissionFactorsStationaryGaseous_Data(), Table_Fuel_EFs_StationaryGaseous[[#Headers],[Fuel combusted]],0)</f>
        <v>m3</v>
      </c>
      <c r="G101" s="236" cm="1">
        <f t="array" ref="G101">Common_InputFunctions.Utility_DisplayArrayInTable(Fuel_SourceData.Fuel_Scope1EmissionFactorsStationaryGaseous_Data(), Table_Fuel_EFs_StationaryGaseous[[#Headers],[Fuel combusted]],0)</f>
        <v>0</v>
      </c>
      <c r="H101" s="236" cm="1">
        <f t="array" ref="H101">Common_InputFunctions.Utility_DisplayArrayInTable(Fuel_SourceData.Fuel_Scope1EmissionFactorsStationaryGaseous_Data(), Table_Fuel_EFs_StationaryGaseous[[#Headers],[Fuel combusted]],0)</f>
        <v>0.1</v>
      </c>
      <c r="I101" s="236" cm="1">
        <f t="array" ref="I101">Common_InputFunctions.Utility_DisplayArrayInTable(Fuel_SourceData.Fuel_Scope1EmissionFactorsStationaryGaseous_Data(), Table_Fuel_EFs_StationaryGaseous[[#Headers],[Fuel combusted]],0)</f>
        <v>0.03</v>
      </c>
      <c r="J101" s="236" cm="1">
        <f t="array" ref="J101">Common_InputFunctions.Utility_DisplayArrayInTable(Fuel_SourceData.Fuel_Scope1EmissionFactorsStationaryGaseous_Data(), Table_Fuel_EFs_StationaryGaseous[[#Headers],[Fuel combusted]],0)</f>
        <v>0.13</v>
      </c>
      <c r="K101" s="184"/>
      <c r="L101" s="184"/>
    </row>
    <row r="102" spans="4:13" ht="20.100000000000001" customHeight="1" x14ac:dyDescent="0.25">
      <c r="D102" s="236" t="str" cm="1">
        <f t="array" ref="D102">Common_InputFunctions.Utility_DisplayArrayInTable(Fuel_SourceData.Fuel_Scope1EmissionFactorsStationaryGaseous_Data(), Table_Fuel_EFs_StationaryGaseous[[#Headers],[Fuel combusted]],0)</f>
        <v>Hydrogen</v>
      </c>
      <c r="E102" s="236" cm="1">
        <f t="array" ref="E102">Common_InputFunctions.Utility_DisplayArrayInTable(Fuel_SourceData.Fuel_Scope1EmissionFactorsStationaryGaseous_Data(), Table_Fuel_EFs_StationaryGaseous[[#Headers],[Fuel combusted]],0)</f>
        <v>1.2200000000000001E-2</v>
      </c>
      <c r="F102" s="236" t="str" cm="1">
        <f t="array" ref="F102">Common_InputFunctions.Utility_DisplayArrayInTable(Fuel_SourceData.Fuel_Scope1EmissionFactorsStationaryGaseous_Data(), Table_Fuel_EFs_StationaryGaseous[[#Headers],[Fuel combusted]],0)</f>
        <v>m3</v>
      </c>
      <c r="G102" s="236" cm="1">
        <f t="array" ref="G102">Common_InputFunctions.Utility_DisplayArrayInTable(Fuel_SourceData.Fuel_Scope1EmissionFactorsStationaryGaseous_Data(), Table_Fuel_EFs_StationaryGaseous[[#Headers],[Fuel combusted]],0)</f>
        <v>0</v>
      </c>
      <c r="H102" s="236" cm="1">
        <f t="array" ref="H102">Common_InputFunctions.Utility_DisplayArrayInTable(Fuel_SourceData.Fuel_Scope1EmissionFactorsStationaryGaseous_Data(), Table_Fuel_EFs_StationaryGaseous[[#Headers],[Fuel combusted]],0)</f>
        <v>0</v>
      </c>
      <c r="I102" s="236" cm="1">
        <f t="array" ref="I102">Common_InputFunctions.Utility_DisplayArrayInTable(Fuel_SourceData.Fuel_Scope1EmissionFactorsStationaryGaseous_Data(), Table_Fuel_EFs_StationaryGaseous[[#Headers],[Fuel combusted]],0)</f>
        <v>0.5</v>
      </c>
      <c r="J102" s="236" cm="1">
        <f t="array" ref="J102">Common_InputFunctions.Utility_DisplayArrayInTable(Fuel_SourceData.Fuel_Scope1EmissionFactorsStationaryGaseous_Data(), Table_Fuel_EFs_StationaryGaseous[[#Headers],[Fuel combusted]],0)</f>
        <v>0.5</v>
      </c>
      <c r="K102" s="184"/>
      <c r="L102" s="184"/>
    </row>
    <row r="103" spans="4:13" ht="20.100000000000001" customHeight="1" x14ac:dyDescent="0.25">
      <c r="D103" s="236" t="str" cm="1">
        <f t="array" ref="D103">Common_InputFunctions.Utility_DisplayArrayInTable(Fuel_SourceData.Fuel_Scope1EmissionFactorsStationaryGaseous_Data(), Table_Fuel_EFs_StationaryGaseous[[#Headers],[Fuel combusted]],0)</f>
        <v>Natural gas distributed in a pipeline - Gigajoules</v>
      </c>
      <c r="E103" s="236" cm="1">
        <f t="array" ref="E103">Common_InputFunctions.Utility_DisplayArrayInTable(Fuel_SourceData.Fuel_Scope1EmissionFactorsStationaryGaseous_Data(), Table_Fuel_EFs_StationaryGaseous[[#Headers],[Fuel combusted]],0)</f>
        <v>1</v>
      </c>
      <c r="F103" s="236" t="str" cm="1">
        <f t="array" ref="F103">Common_InputFunctions.Utility_DisplayArrayInTable(Fuel_SourceData.Fuel_Scope1EmissionFactorsStationaryGaseous_Data(), Table_Fuel_EFs_StationaryGaseous[[#Headers],[Fuel combusted]],0)</f>
        <v>GJ</v>
      </c>
      <c r="G103" s="236" cm="1">
        <f t="array" ref="G103">Common_InputFunctions.Utility_DisplayArrayInTable(Fuel_SourceData.Fuel_Scope1EmissionFactorsStationaryGaseous_Data(), Table_Fuel_EFs_StationaryGaseous[[#Headers],[Fuel combusted]],0)</f>
        <v>51.4</v>
      </c>
      <c r="H103" s="236" cm="1">
        <f t="array" ref="H103">Common_InputFunctions.Utility_DisplayArrayInTable(Fuel_SourceData.Fuel_Scope1EmissionFactorsStationaryGaseous_Data(), Table_Fuel_EFs_StationaryGaseous[[#Headers],[Fuel combusted]],0)</f>
        <v>0.1</v>
      </c>
      <c r="I103" s="236" cm="1">
        <f t="array" ref="I103">Common_InputFunctions.Utility_DisplayArrayInTable(Fuel_SourceData.Fuel_Scope1EmissionFactorsStationaryGaseous_Data(), Table_Fuel_EFs_StationaryGaseous[[#Headers],[Fuel combusted]],0)</f>
        <v>0.03</v>
      </c>
      <c r="J103" s="236" cm="1">
        <f t="array" ref="J103">Common_InputFunctions.Utility_DisplayArrayInTable(Fuel_SourceData.Fuel_Scope1EmissionFactorsStationaryGaseous_Data(), Table_Fuel_EFs_StationaryGaseous[[#Headers],[Fuel combusted]],0)</f>
        <v>51.53</v>
      </c>
      <c r="K103" s="184"/>
      <c r="L103" s="184"/>
    </row>
    <row r="104" spans="4:13" ht="20.100000000000001" customHeight="1" x14ac:dyDescent="0.25">
      <c r="D104" s="236" t="str" cm="1">
        <f t="array" ref="D104">Common_InputFunctions.Utility_DisplayArrayInTable(Fuel_SourceData.Fuel_Scope1EmissionFactorsStationaryGaseous_Data(), Table_Fuel_EFs_StationaryGaseous[[#Headers],[Fuel combusted]],0)</f>
        <v>Town gas - Gigajoules</v>
      </c>
      <c r="E104" s="236" cm="1">
        <f t="array" ref="E104">Common_InputFunctions.Utility_DisplayArrayInTable(Fuel_SourceData.Fuel_Scope1EmissionFactorsStationaryGaseous_Data(), Table_Fuel_EFs_StationaryGaseous[[#Headers],[Fuel combusted]],0)</f>
        <v>1</v>
      </c>
      <c r="F104" s="236" t="str" cm="1">
        <f t="array" ref="F104">Common_InputFunctions.Utility_DisplayArrayInTable(Fuel_SourceData.Fuel_Scope1EmissionFactorsStationaryGaseous_Data(), Table_Fuel_EFs_StationaryGaseous[[#Headers],[Fuel combusted]],0)</f>
        <v>GJ</v>
      </c>
      <c r="G104" s="236" cm="1">
        <f t="array" ref="G104">Common_InputFunctions.Utility_DisplayArrayInTable(Fuel_SourceData.Fuel_Scope1EmissionFactorsStationaryGaseous_Data(), Table_Fuel_EFs_StationaryGaseous[[#Headers],[Fuel combusted]],0)</f>
        <v>60.2</v>
      </c>
      <c r="H104" s="236" cm="1">
        <f t="array" ref="H104">Common_InputFunctions.Utility_DisplayArrayInTable(Fuel_SourceData.Fuel_Scope1EmissionFactorsStationaryGaseous_Data(), Table_Fuel_EFs_StationaryGaseous[[#Headers],[Fuel combusted]],0)</f>
        <v>0.04</v>
      </c>
      <c r="I104" s="236" cm="1">
        <f t="array" ref="I104">Common_InputFunctions.Utility_DisplayArrayInTable(Fuel_SourceData.Fuel_Scope1EmissionFactorsStationaryGaseous_Data(), Table_Fuel_EFs_StationaryGaseous[[#Headers],[Fuel combusted]],0)</f>
        <v>0.03</v>
      </c>
      <c r="J104" s="236" cm="1">
        <f t="array" ref="J104">Common_InputFunctions.Utility_DisplayArrayInTable(Fuel_SourceData.Fuel_Scope1EmissionFactorsStationaryGaseous_Data(), Table_Fuel_EFs_StationaryGaseous[[#Headers],[Fuel combusted]],0)</f>
        <v>60.27</v>
      </c>
      <c r="K104" s="184"/>
      <c r="L104" s="184"/>
    </row>
    <row r="105" spans="4:13" ht="20.100000000000001" customHeight="1" x14ac:dyDescent="0.25">
      <c r="D105" s="184"/>
      <c r="E105" s="184"/>
      <c r="F105" s="184"/>
      <c r="G105" s="184"/>
      <c r="H105" s="184"/>
      <c r="I105" s="184"/>
      <c r="J105" s="184"/>
      <c r="K105" s="184"/>
      <c r="L105" s="184"/>
      <c r="M105" s="184"/>
    </row>
    <row r="106" spans="4:13" ht="20.100000000000001" customHeight="1" x14ac:dyDescent="0.25">
      <c r="D106" s="184"/>
      <c r="E106" s="184"/>
      <c r="F106" s="184"/>
      <c r="G106" s="184"/>
      <c r="H106" s="184"/>
      <c r="I106" s="184"/>
      <c r="J106" s="184"/>
      <c r="K106" s="184"/>
      <c r="L106" s="184"/>
      <c r="M106" s="184"/>
    </row>
    <row r="107" spans="4:13" ht="20.100000000000001" customHeight="1" x14ac:dyDescent="0.25">
      <c r="D107" s="2" t="str" cm="1">
        <f t="array" ref="D107">Fuel_SourceData.Fuel_Scope3EmissionFactorsStationaryGaseous_Title()</f>
        <v>Fuel scope 3 emission factors - Stationary gaseous fuels</v>
      </c>
      <c r="E107" s="184"/>
      <c r="F107" s="184"/>
      <c r="G107" s="184"/>
      <c r="H107" s="184"/>
      <c r="I107" s="184"/>
      <c r="J107" s="184"/>
      <c r="K107" s="184"/>
      <c r="L107" s="184"/>
    </row>
    <row r="108" spans="4:13" ht="20.100000000000001" customHeight="1" x14ac:dyDescent="0.25">
      <c r="D108" s="1" t="str" cm="1">
        <f t="array" ref="D108">Fuel_SourceData.Fuel_Scope3EmissionFactorsStationaryGaseous_Description()</f>
        <v>Indirect (Scope 3) emission factors for the consumption of natural gas.</v>
      </c>
      <c r="E108" s="184"/>
      <c r="F108" s="184"/>
      <c r="G108" s="184"/>
      <c r="H108" s="184"/>
      <c r="I108" s="184"/>
      <c r="J108" s="184"/>
      <c r="K108" s="184"/>
      <c r="L108" s="184"/>
    </row>
    <row r="109" spans="4:13" ht="20.100000000000001" customHeight="1" x14ac:dyDescent="0.25">
      <c r="D109" s="17" t="str" cm="1">
        <f t="array" ref="D109">Fuel_SourceData.Fuel_Scope3EmissionFactorsStationaryGaseous_Source()</f>
        <v>Australian National Greenhouse Accounts Factors 2025 - Table 6</v>
      </c>
      <c r="E109" s="184"/>
      <c r="F109" s="184"/>
      <c r="G109" s="184"/>
      <c r="H109" s="184"/>
      <c r="I109" s="184"/>
      <c r="J109" s="184"/>
      <c r="K109" s="184"/>
      <c r="L109" s="184"/>
    </row>
    <row r="110" spans="4:13" ht="20.100000000000001" customHeight="1" x14ac:dyDescent="0.25">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84"/>
      <c r="F110" s="184"/>
      <c r="G110" s="184"/>
      <c r="H110" s="184"/>
      <c r="I110" s="184"/>
      <c r="J110" s="184"/>
      <c r="K110" s="184"/>
      <c r="L110" s="184"/>
    </row>
    <row r="111" spans="4:13" ht="20.100000000000001" customHeight="1" x14ac:dyDescent="0.25">
      <c r="D111" s="184"/>
      <c r="E111" s="184"/>
      <c r="F111" s="184"/>
      <c r="G111" s="184"/>
      <c r="H111" s="184"/>
      <c r="I111" s="184"/>
      <c r="J111" s="184"/>
      <c r="K111" s="184"/>
      <c r="L111" s="184"/>
    </row>
    <row r="112" spans="4:13" ht="20.100000000000001" customHeight="1" x14ac:dyDescent="0.25">
      <c r="D112" s="201" t="s">
        <v>937</v>
      </c>
      <c r="E112" s="233" t="s">
        <v>872</v>
      </c>
      <c r="F112" s="233" t="s">
        <v>938</v>
      </c>
      <c r="G112" s="184"/>
      <c r="H112" s="76" t="s">
        <v>939</v>
      </c>
      <c r="I112" s="184"/>
      <c r="J112" s="184"/>
      <c r="K112" s="184"/>
      <c r="L112" s="184"/>
    </row>
    <row r="113" spans="4:13" ht="20.100000000000001" customHeight="1" x14ac:dyDescent="0.25">
      <c r="D113" s="237" t="str" cm="1">
        <f t="array" ref="D113">Common_InputFunctions.Utility_DisplayArrayInTable(Fuel_SourceData.Fuel_Scope3EmissionFactorsStationaryGaseous_Data(), Table_Fuel_EFs_StationaryGaseous34[[#Headers],[State or territory]],0)</f>
        <v>New South Wales</v>
      </c>
      <c r="E113" s="237" cm="1">
        <f t="array" ref="E113">Common_InputFunctions.Utility_DisplayArrayInTable(Fuel_SourceData.Fuel_Scope3EmissionFactorsStationaryGaseous_Data(), Table_Fuel_EFs_StationaryGaseous34[[#Headers],[State or territory]],0)</f>
        <v>13.1</v>
      </c>
      <c r="F113" s="237" cm="1">
        <f t="array" ref="F113">Common_InputFunctions.Utility_DisplayArrayInTable(Fuel_SourceData.Fuel_Scope3EmissionFactorsStationaryGaseous_Data(), Table_Fuel_EFs_StationaryGaseous34[[#Headers],[State or territory]],0)</f>
        <v>14</v>
      </c>
      <c r="G113" s="238"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84"/>
      <c r="J113" s="184"/>
      <c r="K113" s="184"/>
      <c r="L113" s="184"/>
    </row>
    <row r="114" spans="4:13" ht="20.100000000000001" customHeight="1" x14ac:dyDescent="0.25">
      <c r="D114" s="237" t="str" cm="1">
        <f t="array" ref="D114">Common_InputFunctions.Utility_DisplayArrayInTable(Fuel_SourceData.Fuel_Scope3EmissionFactorsStationaryGaseous_Data(), Table_Fuel_EFs_StationaryGaseous34[[#Headers],[State or territory]],0)</f>
        <v>ACT</v>
      </c>
      <c r="E114" s="237" cm="1">
        <f t="array" ref="E114">Common_InputFunctions.Utility_DisplayArrayInTable(Fuel_SourceData.Fuel_Scope3EmissionFactorsStationaryGaseous_Data(), Table_Fuel_EFs_StationaryGaseous34[[#Headers],[State or territory]],0)</f>
        <v>13.1</v>
      </c>
      <c r="F114" s="237" cm="1">
        <f t="array" ref="F114">Common_InputFunctions.Utility_DisplayArrayInTable(Fuel_SourceData.Fuel_Scope3EmissionFactorsStationaryGaseous_Data(), Table_Fuel_EFs_StationaryGaseous34[[#Headers],[State or territory]],0)</f>
        <v>14</v>
      </c>
      <c r="G114" s="238" t="str">
        <v/>
      </c>
      <c r="H114" s="1" t="str">
        <v>Gas reaches end users either from the metro distribution networks or direct from the high - pressure distribution pipelines.</v>
      </c>
      <c r="I114" s="184"/>
      <c r="J114" s="184"/>
      <c r="K114" s="184"/>
      <c r="L114" s="184"/>
    </row>
    <row r="115" spans="4:13" ht="20.100000000000001" customHeight="1" x14ac:dyDescent="0.25">
      <c r="D115" s="237" t="str" cm="1">
        <f t="array" ref="D115">Common_InputFunctions.Utility_DisplayArrayInTable(Fuel_SourceData.Fuel_Scope3EmissionFactorsStationaryGaseous_Data(), Table_Fuel_EFs_StationaryGaseous34[[#Headers],[State or territory]],0)</f>
        <v>Victoria</v>
      </c>
      <c r="E115" s="237" cm="1">
        <f t="array" ref="E115">Common_InputFunctions.Utility_DisplayArrayInTable(Fuel_SourceData.Fuel_Scope3EmissionFactorsStationaryGaseous_Data(), Table_Fuel_EFs_StationaryGaseous34[[#Headers],[State or territory]],0)</f>
        <v>4</v>
      </c>
      <c r="F115" s="237" cm="1">
        <f t="array" ref="F115">Common_InputFunctions.Utility_DisplayArrayInTable(Fuel_SourceData.Fuel_Scope3EmissionFactorsStationaryGaseous_Data(), Table_Fuel_EFs_StationaryGaseous34[[#Headers],[State or territory]],0)</f>
        <v>4</v>
      </c>
      <c r="G115" s="238" t="str">
        <v/>
      </c>
      <c r="H115" s="1" t="str">
        <v>Households and commercial users tend to be served by the former, and electricity generators and large industrial plants from the latter.</v>
      </c>
      <c r="I115" s="184"/>
      <c r="J115" s="184"/>
      <c r="K115" s="184"/>
      <c r="L115" s="184"/>
    </row>
    <row r="116" spans="4:13" ht="20.100000000000001" customHeight="1" x14ac:dyDescent="0.25">
      <c r="D116" s="237" t="str" cm="1">
        <f t="array" ref="D116">Common_InputFunctions.Utility_DisplayArrayInTable(Fuel_SourceData.Fuel_Scope3EmissionFactorsStationaryGaseous_Data(), Table_Fuel_EFs_StationaryGaseous34[[#Headers],[State or territory]],0)</f>
        <v>Queensland</v>
      </c>
      <c r="E116" s="237" cm="1">
        <f t="array" ref="E116">Common_InputFunctions.Utility_DisplayArrayInTable(Fuel_SourceData.Fuel_Scope3EmissionFactorsStationaryGaseous_Data(), Table_Fuel_EFs_StationaryGaseous34[[#Headers],[State or territory]],0)</f>
        <v>8.8000000000000007</v>
      </c>
      <c r="F116" s="237" cm="1">
        <f t="array" ref="F116">Common_InputFunctions.Utility_DisplayArrayInTable(Fuel_SourceData.Fuel_Scope3EmissionFactorsStationaryGaseous_Data(), Table_Fuel_EFs_StationaryGaseous34[[#Headers],[State or territory]],0)</f>
        <v>7.9</v>
      </c>
      <c r="G116" s="238" t="str">
        <v>-</v>
      </c>
      <c r="H116" s="1" t="str">
        <v>Metro is defined as located on or east of the dividing range in NSW, including Canberra and Queanbeyan, Melbourne, Brisbane, Adelaide or Perth.</v>
      </c>
      <c r="I116" s="184"/>
      <c r="J116" s="184"/>
      <c r="K116" s="184"/>
      <c r="L116" s="184"/>
    </row>
    <row r="117" spans="4:13" ht="20.100000000000001" customHeight="1" x14ac:dyDescent="0.25">
      <c r="D117" s="237" t="str" cm="1">
        <f t="array" ref="D117">Common_InputFunctions.Utility_DisplayArrayInTable(Fuel_SourceData.Fuel_Scope3EmissionFactorsStationaryGaseous_Data(), Table_Fuel_EFs_StationaryGaseous34[[#Headers],[State or territory]],0)</f>
        <v>South Australia</v>
      </c>
      <c r="E117" s="237" cm="1">
        <f t="array" ref="E117">Common_InputFunctions.Utility_DisplayArrayInTable(Fuel_SourceData.Fuel_Scope3EmissionFactorsStationaryGaseous_Data(), Table_Fuel_EFs_StationaryGaseous34[[#Headers],[State or territory]],0)</f>
        <v>10.7</v>
      </c>
      <c r="F117" s="237" cm="1">
        <f t="array" ref="F117">Common_InputFunctions.Utility_DisplayArrayInTable(Fuel_SourceData.Fuel_Scope3EmissionFactorsStationaryGaseous_Data(), Table_Fuel_EFs_StationaryGaseous34[[#Headers],[State or territory]],0)</f>
        <v>10.6</v>
      </c>
      <c r="G117" s="238" t="str">
        <v/>
      </c>
      <c r="H117" s="1" t="str">
        <v>Otherwise, the non - metro factor should be used.</v>
      </c>
      <c r="I117" s="184"/>
      <c r="J117" s="184"/>
      <c r="K117" s="184"/>
      <c r="L117" s="184"/>
    </row>
    <row r="118" spans="4:13" ht="20.100000000000001" customHeight="1" x14ac:dyDescent="0.25">
      <c r="D118" s="237" t="str" cm="1">
        <f t="array" ref="D118">Common_InputFunctions.Utility_DisplayArrayInTable(Fuel_SourceData.Fuel_Scope3EmissionFactorsStationaryGaseous_Data(), Table_Fuel_EFs_StationaryGaseous34[[#Headers],[State or territory]],0)</f>
        <v>Western Australia</v>
      </c>
      <c r="E118" s="237" cm="1">
        <f t="array" ref="E118">Common_InputFunctions.Utility_DisplayArrayInTable(Fuel_SourceData.Fuel_Scope3EmissionFactorsStationaryGaseous_Data(), Table_Fuel_EFs_StationaryGaseous34[[#Headers],[State or territory]],0)</f>
        <v>4.0999999999999996</v>
      </c>
      <c r="F118" s="237" cm="1">
        <f t="array" ref="F118">Common_InputFunctions.Utility_DisplayArrayInTable(Fuel_SourceData.Fuel_Scope3EmissionFactorsStationaryGaseous_Data(), Table_Fuel_EFs_StationaryGaseous34[[#Headers],[State or territory]],0)</f>
        <v>4</v>
      </c>
      <c r="G118" s="238" t="str">
        <v>-</v>
      </c>
      <c r="H118" s="1" t="str">
        <v>Factors are calculated for all natural gas distributed in a pipeline which may include coal seam methane.</v>
      </c>
      <c r="I118" s="184"/>
      <c r="J118" s="184"/>
      <c r="K118" s="184"/>
      <c r="L118" s="184"/>
    </row>
    <row r="119" spans="4:13" ht="20.100000000000001" customHeight="1" x14ac:dyDescent="0.25">
      <c r="D119" s="237" t="str" cm="1">
        <f t="array" ref="D119">Common_InputFunctions.Utility_DisplayArrayInTable(Fuel_SourceData.Fuel_Scope3EmissionFactorsStationaryGaseous_Data(), Table_Fuel_EFs_StationaryGaseous34[[#Headers],[State or territory]],0)</f>
        <v>Tasmania</v>
      </c>
      <c r="E119" s="237" cm="1">
        <f t="array" ref="E119">Common_InputFunctions.Utility_DisplayArrayInTable(Fuel_SourceData.Fuel_Scope3EmissionFactorsStationaryGaseous_Data(), Table_Fuel_EFs_StationaryGaseous34[[#Headers],[State or territory]],0)</f>
        <v>4</v>
      </c>
      <c r="F119" s="237" cm="1">
        <f t="array" ref="F119">Common_InputFunctions.Utility_DisplayArrayInTable(Fuel_SourceData.Fuel_Scope3EmissionFactorsStationaryGaseous_Data(), Table_Fuel_EFs_StationaryGaseous34[[#Headers],[State or territory]],0)</f>
        <v>4</v>
      </c>
      <c r="G119" s="238" t="str">
        <v>-</v>
      </c>
      <c r="H119" s="1" t="str">
        <v>Table 6 is not applicable to ethane. See Table 7 Indirect (Scope 3) emissions from the consumption of ethane.</v>
      </c>
      <c r="I119" s="184"/>
      <c r="J119" s="184"/>
      <c r="K119" s="184"/>
      <c r="L119" s="184"/>
    </row>
    <row r="120" spans="4:13" ht="20.100000000000001" customHeight="1" x14ac:dyDescent="0.25">
      <c r="D120" s="237" t="str" cm="1">
        <f t="array" ref="D120">Common_InputFunctions.Utility_DisplayArrayInTable(Fuel_SourceData.Fuel_Scope3EmissionFactorsStationaryGaseous_Data(), Table_Fuel_EFs_StationaryGaseous34[[#Headers],[State or territory]],0)</f>
        <v>Northern Territory</v>
      </c>
      <c r="E120" s="237" cm="1">
        <f t="array" ref="E120">Common_InputFunctions.Utility_DisplayArrayInTable(Fuel_SourceData.Fuel_Scope3EmissionFactorsStationaryGaseous_Data(), Table_Fuel_EFs_StationaryGaseous34[[#Headers],[State or territory]],0)</f>
        <v>4.0999999999999996</v>
      </c>
      <c r="F120" s="237" cm="1">
        <f t="array" ref="F120">Common_InputFunctions.Utility_DisplayArrayInTable(Fuel_SourceData.Fuel_Scope3EmissionFactorsStationaryGaseous_Data(), Table_Fuel_EFs_StationaryGaseous34[[#Headers],[State or territory]],0)</f>
        <v>4</v>
      </c>
      <c r="G120" s="238" t="str">
        <v>-</v>
      </c>
      <c r="H120" s="1" t="str">
        <v>C = Confidential. Scope 3 emission factors for Tasmania and the Northern Territory are not available due to confidentiality constraints that arise</v>
      </c>
      <c r="I120" s="184"/>
      <c r="J120" s="184"/>
      <c r="K120" s="184"/>
      <c r="L120" s="184"/>
    </row>
    <row r="121" spans="4:13" ht="20.100000000000001" customHeight="1" x14ac:dyDescent="0.25">
      <c r="D121" s="8"/>
      <c r="E121" s="8"/>
      <c r="F121" s="8"/>
      <c r="G121" s="238" t="str">
        <v/>
      </c>
      <c r="H121" s="1" t="str">
        <v>from the use of a limited number of NGER data inputs. It is suggested that for Tasmania the use of the Victorian emission factors is appropriate,</v>
      </c>
      <c r="I121" s="184"/>
      <c r="J121" s="184"/>
      <c r="K121" s="184"/>
      <c r="L121" s="184"/>
    </row>
    <row r="122" spans="4:13" ht="20.100000000000001" customHeight="1" x14ac:dyDescent="0.25">
      <c r="D122" s="184"/>
      <c r="F122" s="239"/>
      <c r="G122" s="238" t="str">
        <v/>
      </c>
      <c r="H122" s="1" t="str">
        <v>while for Northern Territory the use of the Western Australian emission factors is appropriate.</v>
      </c>
      <c r="I122" s="184"/>
      <c r="J122" s="184"/>
      <c r="K122" s="184"/>
      <c r="L122" s="184"/>
    </row>
    <row r="123" spans="4:13" ht="20.100000000000001" customHeight="1" x14ac:dyDescent="0.25">
      <c r="D123" s="240"/>
      <c r="F123" s="239"/>
      <c r="G123" s="238" t="str">
        <v>-</v>
      </c>
      <c r="H123" s="1" t="str">
        <v>Scope 3 emission factors do not include fugitive emission leakage from low pressure natural gas distribution pipeline networks while those from high pressure</v>
      </c>
      <c r="I123" s="184"/>
      <c r="J123" s="184"/>
      <c r="K123" s="184"/>
      <c r="L123" s="184"/>
    </row>
    <row r="124" spans="4:13" ht="20.100000000000001" customHeight="1" x14ac:dyDescent="0.25">
      <c r="D124" s="240"/>
      <c r="F124" s="239"/>
      <c r="G124" s="184" t="str">
        <v/>
      </c>
      <c r="H124" s="1" t="str">
        <v>gas networks are considered negligible.</v>
      </c>
      <c r="I124" s="184"/>
      <c r="J124" s="184"/>
      <c r="K124" s="184"/>
      <c r="L124" s="184"/>
    </row>
    <row r="125" spans="4:13" ht="20.100000000000001" customHeight="1" x14ac:dyDescent="0.25">
      <c r="D125" s="240"/>
      <c r="F125" s="239"/>
      <c r="G125" s="184"/>
      <c r="H125" s="184"/>
      <c r="I125" s="184"/>
      <c r="J125" s="184"/>
      <c r="K125" s="184"/>
      <c r="L125" s="184"/>
    </row>
    <row r="126" spans="4:13" ht="20.100000000000001" customHeight="1" x14ac:dyDescent="0.25">
      <c r="D126" s="184"/>
      <c r="E126" s="184"/>
      <c r="F126" s="184"/>
      <c r="G126" s="184"/>
      <c r="H126" s="184"/>
      <c r="I126" s="184"/>
      <c r="J126" s="184"/>
      <c r="K126" s="184"/>
      <c r="L126" s="184"/>
      <c r="M126" s="184"/>
    </row>
    <row r="127" spans="4:13" ht="20.100000000000001" customHeight="1" x14ac:dyDescent="0.25">
      <c r="D127" s="184"/>
      <c r="E127" s="184"/>
      <c r="F127" s="184"/>
      <c r="G127" s="184"/>
      <c r="H127" s="184"/>
      <c r="I127" s="184"/>
      <c r="J127" s="184"/>
      <c r="K127" s="184"/>
      <c r="L127" s="184"/>
      <c r="M127" s="184"/>
    </row>
    <row r="128" spans="4:13" ht="20.100000000000001" customHeight="1" x14ac:dyDescent="0.25">
      <c r="D128" s="184"/>
      <c r="E128" s="184"/>
      <c r="F128" s="184"/>
      <c r="G128" s="184"/>
      <c r="H128" s="184"/>
      <c r="I128" s="184"/>
      <c r="J128" s="184"/>
      <c r="K128" s="184"/>
      <c r="L128" s="184"/>
      <c r="M128" s="184"/>
    </row>
    <row r="129" spans="4:33" ht="20.100000000000001" customHeight="1" x14ac:dyDescent="0.25">
      <c r="D129" s="241"/>
      <c r="E129" s="184"/>
      <c r="F129" s="184"/>
      <c r="G129" s="184"/>
      <c r="H129" s="184"/>
      <c r="I129" s="184"/>
      <c r="J129" s="184"/>
      <c r="K129" s="184"/>
      <c r="L129" s="184"/>
    </row>
    <row r="130" spans="4:33" ht="20.100000000000001" customHeight="1" x14ac:dyDescent="0.25">
      <c r="D130" s="242" t="s">
        <v>940</v>
      </c>
      <c r="E130" s="242" t="s">
        <v>881</v>
      </c>
      <c r="F130" s="242" t="s">
        <v>941</v>
      </c>
      <c r="G130" s="242" t="s">
        <v>884</v>
      </c>
      <c r="H130" s="242" t="s">
        <v>886</v>
      </c>
      <c r="I130" s="242" t="s">
        <v>887</v>
      </c>
      <c r="J130" s="184"/>
      <c r="K130" s="184"/>
      <c r="L130" s="184"/>
    </row>
    <row r="131" spans="4:33" ht="20.100000000000001" customHeight="1" x14ac:dyDescent="0.25">
      <c r="D131" s="243" t="str">
        <f>$D$143</f>
        <v>Petrol</v>
      </c>
      <c r="E131" s="243" t="str">
        <f>$D$143</f>
        <v>Petrol</v>
      </c>
      <c r="F131" s="243" t="str">
        <f>$D$150</f>
        <v>Avgas</v>
      </c>
      <c r="G131" s="243" t="str">
        <f>$D$143</f>
        <v>Petrol</v>
      </c>
      <c r="H131" s="243" t="str">
        <f>$D$144</f>
        <v>Diesel</v>
      </c>
      <c r="I131" s="243" t="str">
        <f>$D$143</f>
        <v>Petrol</v>
      </c>
      <c r="J131" s="184"/>
      <c r="K131" s="184"/>
      <c r="L131" s="184"/>
    </row>
    <row r="132" spans="4:33" ht="20.100000000000001" customHeight="1" x14ac:dyDescent="0.25">
      <c r="D132" s="243" t="str">
        <f>$D$144</f>
        <v>Diesel</v>
      </c>
      <c r="E132" s="243" t="str">
        <f>$D$144</f>
        <v>Diesel</v>
      </c>
      <c r="F132" s="243" t="str">
        <f>$D$151</f>
        <v>Jet A1, Jet B</v>
      </c>
      <c r="G132" s="243" t="str">
        <f>$D$144</f>
        <v>Diesel</v>
      </c>
      <c r="H132" s="243"/>
      <c r="I132" s="243" t="str">
        <f>$D$144</f>
        <v>Diesel</v>
      </c>
      <c r="J132" s="184"/>
      <c r="K132" s="184"/>
      <c r="L132" s="184"/>
    </row>
    <row r="133" spans="4:33" ht="20.100000000000001" customHeight="1" x14ac:dyDescent="0.25">
      <c r="D133" s="243" t="str">
        <f>$D$145</f>
        <v>Liquefied petroleum gas (LPG)</v>
      </c>
      <c r="E133" s="243" t="str">
        <f>$D$145</f>
        <v>Liquefied petroleum gas (LPG)</v>
      </c>
      <c r="F133" s="243" t="str">
        <f>$D$152</f>
        <v>Renewable aviation kerosene</v>
      </c>
      <c r="G133" s="243" t="str">
        <f>$D$145</f>
        <v>Liquefied petroleum gas (LPG)</v>
      </c>
      <c r="H133" s="243"/>
      <c r="I133" s="243" t="s">
        <v>888</v>
      </c>
      <c r="J133" s="184"/>
      <c r="K133" s="184"/>
      <c r="L133" s="184"/>
    </row>
    <row r="134" spans="4:33" ht="20.100000000000001" customHeight="1" x14ac:dyDescent="0.25">
      <c r="D134" s="243" t="str">
        <f>$D$146</f>
        <v>Biodiesel</v>
      </c>
      <c r="E134" s="243" t="str">
        <f>$D$146</f>
        <v>Biodiesel</v>
      </c>
      <c r="F134" s="242"/>
      <c r="G134" s="243" t="str">
        <f>$D$160</f>
        <v>Fuel oil</v>
      </c>
      <c r="H134" s="243"/>
      <c r="I134" s="243"/>
      <c r="J134" s="184"/>
      <c r="K134" s="184"/>
      <c r="L134" s="184"/>
    </row>
    <row r="135" spans="4:33" ht="20.100000000000001" customHeight="1" x14ac:dyDescent="0.25">
      <c r="D135" s="243" t="str">
        <f>$D$147</f>
        <v>Ethanol</v>
      </c>
      <c r="E135" s="243" t="str">
        <f>$D$147</f>
        <v>Ethanol</v>
      </c>
      <c r="F135" s="242"/>
      <c r="G135" s="243" t="str">
        <f>$D$147</f>
        <v>Ethanol</v>
      </c>
      <c r="H135" s="243"/>
      <c r="I135" s="243"/>
      <c r="J135" s="184"/>
      <c r="K135" s="184"/>
      <c r="L135" s="184"/>
    </row>
    <row r="136" spans="4:33" ht="20.100000000000001" customHeight="1" x14ac:dyDescent="0.25">
      <c r="D136" s="243" t="str">
        <f>$D$148</f>
        <v>Other biofuels</v>
      </c>
      <c r="E136" s="243" t="str">
        <f>$D$148</f>
        <v>Other biofuels</v>
      </c>
      <c r="F136" s="242"/>
      <c r="G136" s="243" t="str">
        <f>$D$146</f>
        <v>Biodiesel</v>
      </c>
      <c r="H136" s="243"/>
      <c r="I136" s="243"/>
      <c r="J136" s="184"/>
      <c r="K136" s="184"/>
      <c r="L136" s="184"/>
    </row>
    <row r="137" spans="4:33" ht="20.100000000000001" customHeight="1" x14ac:dyDescent="0.25">
      <c r="D137" s="243" t="str">
        <f>$D$149</f>
        <v>Renewable diesel</v>
      </c>
      <c r="E137" s="243" t="str">
        <f>$D$149</f>
        <v>Renewable diesel</v>
      </c>
      <c r="F137" s="242"/>
      <c r="G137" s="243" t="str">
        <f>$D$149</f>
        <v>Renewable diesel</v>
      </c>
      <c r="H137" s="243"/>
      <c r="I137" s="243"/>
      <c r="J137" s="184"/>
      <c r="K137" s="184"/>
      <c r="L137" s="184"/>
    </row>
    <row r="138" spans="4:33" ht="20.100000000000001" customHeight="1" x14ac:dyDescent="0.25">
      <c r="D138" s="242"/>
      <c r="E138" s="244" t="str">
        <f>$D$161</f>
        <v>Natural gas (via pipeline) in GJ</v>
      </c>
      <c r="F138" s="244"/>
      <c r="G138" s="243" t="str">
        <f>$D$148</f>
        <v>Other biofuels</v>
      </c>
      <c r="H138" s="243"/>
      <c r="I138" s="243"/>
      <c r="J138" s="184"/>
      <c r="K138" s="184"/>
      <c r="L138" s="184"/>
    </row>
    <row r="139" spans="4:33" ht="20.100000000000001" customHeight="1" x14ac:dyDescent="0.25">
      <c r="D139" s="244"/>
      <c r="E139" s="244" t="str">
        <f>$D$162</f>
        <v>Town gas in GJ</v>
      </c>
      <c r="F139" s="244"/>
      <c r="G139" s="244"/>
      <c r="H139" s="244"/>
      <c r="I139" s="244"/>
      <c r="J139" s="184"/>
      <c r="K139" s="184"/>
      <c r="L139" s="184"/>
    </row>
    <row r="140" spans="4:33" ht="20.100000000000001" customHeight="1" x14ac:dyDescent="0.25">
      <c r="D140" s="184"/>
      <c r="E140" s="184"/>
      <c r="F140" s="184"/>
      <c r="G140" s="184"/>
      <c r="H140" s="184"/>
      <c r="I140" s="184"/>
      <c r="J140" s="184"/>
      <c r="K140" s="184"/>
      <c r="L140" s="184"/>
    </row>
    <row r="141" spans="4:33" ht="20.100000000000001" customHeight="1" x14ac:dyDescent="0.25">
      <c r="D141" s="184"/>
      <c r="E141" s="184"/>
      <c r="F141" s="184"/>
      <c r="G141" s="184"/>
      <c r="H141" s="184"/>
      <c r="I141" s="184"/>
      <c r="J141" s="184"/>
      <c r="K141" s="184"/>
      <c r="L141" s="184"/>
    </row>
    <row r="142" spans="4:33" ht="20.100000000000001" customHeight="1" x14ac:dyDescent="0.25">
      <c r="D142" t="s">
        <v>942</v>
      </c>
      <c r="E142" t="s">
        <v>118</v>
      </c>
      <c r="F142" t="s">
        <v>943</v>
      </c>
      <c r="G142" s="184"/>
      <c r="H142" s="184"/>
      <c r="I142" s="184"/>
      <c r="J142" s="184"/>
      <c r="K142" s="184"/>
      <c r="L142" s="184"/>
      <c r="M142" s="184"/>
      <c r="AG142" s="1"/>
    </row>
    <row r="143" spans="4:33" ht="20.100000000000001" customHeight="1" x14ac:dyDescent="0.25">
      <c r="D143" s="243" t="s">
        <v>883</v>
      </c>
      <c r="E143" t="s">
        <v>944</v>
      </c>
      <c r="F143" t="s">
        <v>945</v>
      </c>
      <c r="G143" s="184"/>
      <c r="H143" s="184"/>
      <c r="I143" s="184"/>
      <c r="J143" s="184"/>
      <c r="K143" s="184"/>
      <c r="L143" s="184"/>
      <c r="M143" s="184"/>
      <c r="AG143" s="1"/>
    </row>
    <row r="144" spans="4:33" ht="20.100000000000001" customHeight="1" x14ac:dyDescent="0.25">
      <c r="D144" s="243" t="s">
        <v>885</v>
      </c>
      <c r="E144" t="s">
        <v>944</v>
      </c>
      <c r="F144" t="s">
        <v>945</v>
      </c>
      <c r="G144" s="184"/>
      <c r="H144" s="184"/>
      <c r="I144" s="184"/>
      <c r="J144" s="184"/>
      <c r="K144" s="184"/>
      <c r="L144" s="184"/>
      <c r="M144" s="184"/>
      <c r="AG144" s="1"/>
    </row>
    <row r="145" spans="4:33" ht="20.100000000000001" customHeight="1" x14ac:dyDescent="0.25">
      <c r="D145" s="243" t="s">
        <v>946</v>
      </c>
      <c r="E145" t="s">
        <v>944</v>
      </c>
      <c r="F145" t="s">
        <v>945</v>
      </c>
      <c r="G145" s="184"/>
      <c r="H145" s="184"/>
      <c r="I145" s="184"/>
      <c r="J145" s="184"/>
      <c r="K145" s="184"/>
      <c r="L145" s="184"/>
      <c r="M145" s="184"/>
      <c r="AG145" s="1"/>
    </row>
    <row r="146" spans="4:33" ht="20.100000000000001" customHeight="1" x14ac:dyDescent="0.25">
      <c r="D146" s="243" t="s">
        <v>947</v>
      </c>
      <c r="E146" t="s">
        <v>944</v>
      </c>
      <c r="F146" t="s">
        <v>945</v>
      </c>
      <c r="G146" s="184"/>
      <c r="H146" s="184"/>
      <c r="I146" s="184"/>
      <c r="J146" s="184"/>
      <c r="K146" s="184"/>
      <c r="L146" s="184"/>
      <c r="M146" s="184"/>
      <c r="AG146" s="1"/>
    </row>
    <row r="147" spans="4:33" ht="20.100000000000001" customHeight="1" x14ac:dyDescent="0.25">
      <c r="D147" s="243" t="s">
        <v>948</v>
      </c>
      <c r="E147" t="s">
        <v>944</v>
      </c>
      <c r="F147" t="s">
        <v>945</v>
      </c>
      <c r="G147" s="184"/>
      <c r="H147" s="184"/>
      <c r="I147" s="184"/>
      <c r="J147" s="184"/>
      <c r="K147" s="184"/>
      <c r="L147" s="184"/>
      <c r="M147" s="184"/>
      <c r="AG147" s="1"/>
    </row>
    <row r="148" spans="4:33" ht="20.100000000000001" customHeight="1" x14ac:dyDescent="0.25">
      <c r="D148" s="243" t="s">
        <v>949</v>
      </c>
      <c r="E148" t="s">
        <v>944</v>
      </c>
      <c r="F148" t="s">
        <v>945</v>
      </c>
      <c r="G148" s="184"/>
      <c r="H148" s="184"/>
      <c r="I148" s="184"/>
      <c r="J148" s="184"/>
      <c r="K148" s="184"/>
      <c r="L148" s="184"/>
      <c r="M148" s="184"/>
      <c r="AG148" s="1"/>
    </row>
    <row r="149" spans="4:33" ht="20.100000000000001" customHeight="1" x14ac:dyDescent="0.25">
      <c r="D149" s="243" t="s">
        <v>950</v>
      </c>
      <c r="E149" t="s">
        <v>944</v>
      </c>
      <c r="F149" t="s">
        <v>945</v>
      </c>
      <c r="G149" s="184"/>
      <c r="H149" s="184"/>
      <c r="I149" s="184"/>
      <c r="J149" s="184"/>
      <c r="K149" s="184"/>
      <c r="L149" s="184"/>
      <c r="M149" s="184"/>
      <c r="AG149" s="1"/>
    </row>
    <row r="150" spans="4:33" ht="20.100000000000001" customHeight="1" x14ac:dyDescent="0.25">
      <c r="D150" s="243" t="s">
        <v>951</v>
      </c>
      <c r="E150" t="s">
        <v>944</v>
      </c>
      <c r="F150" t="s">
        <v>945</v>
      </c>
      <c r="G150" s="184"/>
      <c r="H150" s="184"/>
      <c r="I150" s="184"/>
      <c r="J150" s="184"/>
      <c r="K150" s="184"/>
      <c r="L150" s="184"/>
      <c r="M150" s="184"/>
      <c r="AG150" s="1"/>
    </row>
    <row r="151" spans="4:33" ht="20.100000000000001" customHeight="1" x14ac:dyDescent="0.25">
      <c r="D151" s="243" t="s">
        <v>952</v>
      </c>
      <c r="E151" t="s">
        <v>944</v>
      </c>
      <c r="F151" t="s">
        <v>945</v>
      </c>
      <c r="G151" s="184"/>
      <c r="H151" s="184"/>
      <c r="I151" s="184"/>
      <c r="J151" s="184"/>
      <c r="K151" s="184"/>
      <c r="L151" s="184"/>
      <c r="M151" s="184"/>
      <c r="AG151" s="1"/>
    </row>
    <row r="152" spans="4:33" ht="20.100000000000001" customHeight="1" x14ac:dyDescent="0.25">
      <c r="D152" s="245" t="s">
        <v>953</v>
      </c>
      <c r="E152" s="8" t="s">
        <v>944</v>
      </c>
      <c r="F152" t="s">
        <v>945</v>
      </c>
      <c r="G152" s="184"/>
      <c r="H152" s="184"/>
      <c r="I152" s="184"/>
      <c r="J152" s="184"/>
      <c r="K152" s="184"/>
      <c r="L152" s="184"/>
      <c r="M152" s="184"/>
      <c r="AG152" s="1"/>
    </row>
    <row r="153" spans="4:33" ht="20.100000000000001" customHeight="1" x14ac:dyDescent="0.25">
      <c r="D153" s="245" t="s">
        <v>954</v>
      </c>
      <c r="E153" s="8" t="s">
        <v>944</v>
      </c>
      <c r="F153" t="s">
        <v>945</v>
      </c>
      <c r="G153" s="184"/>
      <c r="H153" s="184"/>
      <c r="I153" s="184"/>
      <c r="J153" s="184"/>
      <c r="K153" s="184"/>
      <c r="L153" s="184"/>
      <c r="M153" s="184"/>
      <c r="AG153" s="1"/>
    </row>
    <row r="154" spans="4:33" ht="20.100000000000001" customHeight="1" x14ac:dyDescent="0.25">
      <c r="D154" s="245" t="s">
        <v>955</v>
      </c>
      <c r="E154" s="8" t="s">
        <v>944</v>
      </c>
      <c r="F154" t="s">
        <v>945</v>
      </c>
      <c r="G154" s="184"/>
      <c r="H154" s="184"/>
      <c r="I154" s="184"/>
      <c r="J154" s="184"/>
      <c r="K154" s="184"/>
      <c r="L154" s="184"/>
      <c r="M154" s="184"/>
      <c r="AG154" s="1"/>
    </row>
    <row r="155" spans="4:33" ht="20.100000000000001" customHeight="1" x14ac:dyDescent="0.25">
      <c r="D155" s="245" t="s">
        <v>956</v>
      </c>
      <c r="E155" s="8" t="s">
        <v>944</v>
      </c>
      <c r="F155" t="s">
        <v>945</v>
      </c>
      <c r="G155" s="184"/>
      <c r="H155" s="184"/>
      <c r="I155" s="184"/>
      <c r="J155" s="184"/>
      <c r="K155" s="184"/>
      <c r="L155" s="184"/>
      <c r="M155" s="184"/>
      <c r="AG155" s="1"/>
    </row>
    <row r="156" spans="4:33" ht="20.100000000000001" customHeight="1" x14ac:dyDescent="0.25">
      <c r="D156" s="245" t="s">
        <v>957</v>
      </c>
      <c r="E156" s="8" t="s">
        <v>944</v>
      </c>
      <c r="F156" t="s">
        <v>945</v>
      </c>
      <c r="G156" s="184"/>
      <c r="H156" s="184"/>
      <c r="I156" s="184"/>
      <c r="J156" s="184"/>
      <c r="K156" s="184"/>
      <c r="L156" s="184"/>
      <c r="M156" s="184"/>
      <c r="AG156" s="1"/>
    </row>
    <row r="157" spans="4:33" ht="20.100000000000001" customHeight="1" x14ac:dyDescent="0.25">
      <c r="D157" s="245" t="s">
        <v>958</v>
      </c>
      <c r="E157" s="8" t="s">
        <v>944</v>
      </c>
      <c r="F157" t="s">
        <v>945</v>
      </c>
      <c r="G157" s="184"/>
      <c r="H157" s="184"/>
      <c r="I157" s="184"/>
      <c r="J157" s="184"/>
      <c r="K157" s="184"/>
      <c r="L157" s="184"/>
      <c r="M157" s="184"/>
      <c r="AG157" s="1"/>
    </row>
    <row r="158" spans="4:33" ht="20.100000000000001" customHeight="1" x14ac:dyDescent="0.25">
      <c r="D158" s="245" t="s">
        <v>959</v>
      </c>
      <c r="E158" s="8" t="s">
        <v>944</v>
      </c>
      <c r="F158" t="s">
        <v>945</v>
      </c>
      <c r="G158" s="184"/>
      <c r="H158" s="184"/>
      <c r="I158" s="184"/>
      <c r="J158" s="184"/>
      <c r="K158" s="184"/>
      <c r="L158" s="184"/>
      <c r="M158" s="184"/>
      <c r="AG158" s="1"/>
    </row>
    <row r="159" spans="4:33" ht="20.100000000000001" customHeight="1" x14ac:dyDescent="0.25">
      <c r="D159" s="245" t="s">
        <v>960</v>
      </c>
      <c r="E159" s="8" t="s">
        <v>944</v>
      </c>
      <c r="F159" t="s">
        <v>945</v>
      </c>
      <c r="G159" s="184"/>
      <c r="H159" s="184"/>
      <c r="I159" s="184"/>
      <c r="J159" s="184"/>
      <c r="K159" s="184"/>
      <c r="L159" s="184"/>
      <c r="M159" s="184"/>
      <c r="AG159" s="1"/>
    </row>
    <row r="160" spans="4:33" ht="20.100000000000001" customHeight="1" x14ac:dyDescent="0.25">
      <c r="D160" s="245" t="s">
        <v>888</v>
      </c>
      <c r="E160" s="8" t="s">
        <v>944</v>
      </c>
      <c r="F160" t="s">
        <v>945</v>
      </c>
      <c r="G160" s="184"/>
      <c r="H160" s="184"/>
      <c r="I160" s="184"/>
      <c r="J160" s="184"/>
      <c r="K160" s="184"/>
      <c r="L160" s="184"/>
      <c r="M160" s="184"/>
      <c r="AG160" s="1"/>
    </row>
    <row r="161" spans="4:33" ht="20.100000000000001" customHeight="1" x14ac:dyDescent="0.25">
      <c r="D161" s="244" t="s">
        <v>961</v>
      </c>
      <c r="E161" s="184" t="s">
        <v>962</v>
      </c>
      <c r="F161" s="184" t="s">
        <v>962</v>
      </c>
      <c r="G161" s="184"/>
      <c r="H161" s="184"/>
      <c r="I161" s="184"/>
      <c r="J161" s="184"/>
      <c r="K161" s="184"/>
      <c r="L161" s="184"/>
      <c r="M161" s="184"/>
      <c r="AG161" s="1"/>
    </row>
    <row r="162" spans="4:33" ht="20.100000000000001" customHeight="1" x14ac:dyDescent="0.25">
      <c r="D162" s="184" t="s">
        <v>882</v>
      </c>
      <c r="E162" s="184" t="s">
        <v>962</v>
      </c>
      <c r="F162" s="184" t="s">
        <v>962</v>
      </c>
      <c r="G162" s="184"/>
      <c r="H162" s="184"/>
      <c r="I162" s="184"/>
      <c r="J162" s="184"/>
      <c r="K162" s="184"/>
      <c r="L162" s="184"/>
      <c r="M162" s="184"/>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5091-3EA4-4706-9814-1A1A05C5C7E2}">
  <sheetPr>
    <tabColor theme="2" tint="-0.499984740745262"/>
  </sheetPr>
  <dimension ref="A1:R247"/>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style="254" customWidth="1"/>
    <col min="2" max="2" width="5.28515625" style="254" customWidth="1"/>
    <col min="3" max="3" width="5.28515625" style="1" customWidth="1"/>
    <col min="4" max="17" width="35" style="1" customWidth="1"/>
    <col min="18" max="16384" width="9.140625" style="254"/>
  </cols>
  <sheetData>
    <row r="1" spans="1:17" ht="30" customHeight="1" x14ac:dyDescent="0.35">
      <c r="A1" s="10" t="e" vm="1">
        <v>#VALUE!</v>
      </c>
      <c r="C1" s="254"/>
      <c r="D1" s="254"/>
      <c r="E1" s="254"/>
      <c r="F1" s="254"/>
      <c r="G1" s="254"/>
      <c r="H1" s="254"/>
      <c r="I1" s="254"/>
      <c r="J1" s="254"/>
      <c r="K1" s="254"/>
      <c r="L1" s="254"/>
      <c r="M1" s="254"/>
      <c r="N1" s="254"/>
      <c r="O1" s="254"/>
      <c r="P1" s="254"/>
      <c r="Q1" s="254"/>
    </row>
    <row r="2" spans="1:17" ht="20.100000000000001" customHeight="1" x14ac:dyDescent="0.25">
      <c r="A2"/>
      <c r="C2" s="254"/>
      <c r="D2" s="254"/>
      <c r="E2" s="254"/>
      <c r="F2" s="254"/>
      <c r="G2" s="254"/>
      <c r="H2" s="254"/>
      <c r="I2" s="254"/>
      <c r="J2" s="254"/>
      <c r="K2" s="254"/>
      <c r="L2" s="254"/>
      <c r="M2" s="254"/>
      <c r="N2" s="254"/>
      <c r="O2" s="254"/>
      <c r="P2" s="254"/>
      <c r="Q2" s="254"/>
    </row>
    <row r="3" spans="1:17" ht="20.100000000000001" customHeight="1" x14ac:dyDescent="0.25">
      <c r="A3" s="5" t="str">
        <f>HYPERLINK("#'Home'!A1", "Home")</f>
        <v>Home</v>
      </c>
    </row>
    <row r="4" spans="1:17" ht="20.100000000000001" customHeight="1" x14ac:dyDescent="0.25">
      <c r="A4" s="5" t="str">
        <f>HYPERLINK("#'Results - Activity period'!A1", "Results - Activity period")</f>
        <v>Results - Activity period</v>
      </c>
    </row>
    <row r="5" spans="1:17" ht="20.100000000000001" customHeight="1" x14ac:dyDescent="0.25">
      <c r="A5" s="5" t="str">
        <f>HYPERLINK("#'Results - Product EI'!A1", "Results - Product Emissions Intensity")</f>
        <v>Results - Product Emissions Intensity</v>
      </c>
    </row>
    <row r="6" spans="1:17" ht="20.100000000000001" customHeight="1" x14ac:dyDescent="0.25">
      <c r="A6" s="5" t="str">
        <f>HYPERLINK("#'Results'!A1", "Results")</f>
        <v>Results</v>
      </c>
    </row>
    <row r="7" spans="1:17" ht="20.100000000000001" customHeight="1" x14ac:dyDescent="0.25">
      <c r="A7"/>
    </row>
    <row r="8" spans="1:17" ht="20.100000000000001" customHeight="1" x14ac:dyDescent="0.25">
      <c r="A8"/>
    </row>
    <row r="9" spans="1:17" ht="20.100000000000001" customHeight="1" x14ac:dyDescent="0.25">
      <c r="A9" s="7" t="s">
        <v>0</v>
      </c>
    </row>
    <row r="10" spans="1:17" ht="20.100000000000001" customHeight="1" x14ac:dyDescent="0.25">
      <c r="A10" s="5" t="str">
        <f>HYPERLINK("#'Input - Enterprise'!A1", "Enterprise")</f>
        <v>Enterprise</v>
      </c>
    </row>
    <row r="11" spans="1:17" ht="20.100000000000001" customHeight="1" x14ac:dyDescent="0.25">
      <c r="A11" s="5" t="str">
        <f>HYPERLINK("#'Input - Site'!A1", "Site")</f>
        <v>Site</v>
      </c>
    </row>
    <row r="12" spans="1:17" ht="20.100000000000001" customHeight="1" x14ac:dyDescent="0.25">
      <c r="A12" s="5" t="str">
        <f>HYPERLINK("#'Input - Dairy'!A1", "Dairy")</f>
        <v>Dairy</v>
      </c>
    </row>
    <row r="13" spans="1:17" ht="20.100000000000001" customHeight="1" x14ac:dyDescent="0.25">
      <c r="A13" s="5" t="str">
        <f>HYPERLINK("#'Input - Livestock sales'!A1", "Livestock sales")</f>
        <v>Livestock sales</v>
      </c>
    </row>
    <row r="14" spans="1:17" ht="20.100000000000001" customHeight="1" x14ac:dyDescent="0.25">
      <c r="A14" s="5" t="str">
        <f>HYPERLINK("#'Input - Dairy cattle purchases'!A1", "Dairy cattle purchases")</f>
        <v>Dairy cattle purchases</v>
      </c>
    </row>
    <row r="15" spans="1:17" ht="20.100000000000001" customHeight="1" x14ac:dyDescent="0.25">
      <c r="A15" s="5" t="str">
        <f>HYPERLINK("#'Input - Pasture'!A1", "Pasture")</f>
        <v>Pasture</v>
      </c>
    </row>
    <row r="16" spans="1:17" ht="20.100000000000001" customHeight="1" x14ac:dyDescent="0.25">
      <c r="A16" s="5" t="str">
        <f>HYPERLINK("#'Input - Fert Prod System'!A1", "Fert Prod System")</f>
        <v>Fert Prod System</v>
      </c>
    </row>
    <row r="17" spans="1:12" ht="20.100000000000001" customHeight="1" x14ac:dyDescent="0.25">
      <c r="A17" s="5" t="str">
        <f>HYPERLINK("#'Input - Fertiliser'!A1", "Fertiliser")</f>
        <v>Fertiliser</v>
      </c>
    </row>
    <row r="18" spans="1:12" ht="20.100000000000001" customHeight="1" x14ac:dyDescent="0.25">
      <c r="A18" s="5" t="str">
        <f>HYPERLINK("#'Input - Fuel'!A1", "Fuel")</f>
        <v>Fuel</v>
      </c>
    </row>
    <row r="19" spans="1:12" ht="20.100000000000001" customHeight="1" x14ac:dyDescent="0.25">
      <c r="A19" s="5" t="str">
        <f>HYPERLINK("#'Input - Electricity'!A1", "Electricity")</f>
        <v>Electricity</v>
      </c>
    </row>
    <row r="20" spans="1:12" ht="20.100000000000001" customHeight="1" x14ac:dyDescent="0.25">
      <c r="A20" s="5" t="str">
        <f>HYPERLINK("#'Input - Common farm inputs'!A1", "Common farm inputs")</f>
        <v>Common farm inputs</v>
      </c>
    </row>
    <row r="21" spans="1:12" ht="20.100000000000001" customHeight="1" x14ac:dyDescent="0.25">
      <c r="A21" s="5" t="str">
        <f>HYPERLINK("#'Input - Crop pasture farm input'!A1", "Crop pasture farm input")</f>
        <v>Crop pasture farm input</v>
      </c>
    </row>
    <row r="22" spans="1:12" ht="20.100000000000001" customHeight="1" x14ac:dyDescent="0.25">
      <c r="A22" s="5" t="str">
        <f>HYPERLINK("#'Input - Livestock farm Inputs'!A1", "Livestock farm Inputs")</f>
        <v>Livestock farm Inputs</v>
      </c>
    </row>
    <row r="23" spans="1:12" ht="20.100000000000001" customHeight="1" x14ac:dyDescent="0.25">
      <c r="A23" s="5" t="str">
        <f>HYPERLINK("#'Input - Freight'!A1", "Freight")</f>
        <v>Freight</v>
      </c>
    </row>
    <row r="24" spans="1:12" ht="20.100000000000001" customHeight="1" x14ac:dyDescent="0.25">
      <c r="A24" s="5" t="str">
        <f>HYPERLINK("#'Input - Solid waste'!A1", "Solid waste")</f>
        <v>Solid waste</v>
      </c>
    </row>
    <row r="25" spans="1:12" ht="20.100000000000001" customHeight="1" x14ac:dyDescent="0.25">
      <c r="A25" s="5" t="str">
        <f>HYPERLINK("#'Input - Manure sent off-site'!A1", "Manure sent off-site")</f>
        <v>Manure sent off-site</v>
      </c>
    </row>
    <row r="26" spans="1:12" ht="20.100000000000001" customHeight="1" x14ac:dyDescent="0.25">
      <c r="A26" s="5" t="str">
        <f>HYPERLINK("#'Input - Data quality'!A1", "Data quality")</f>
        <v>Data quality</v>
      </c>
    </row>
    <row r="27" spans="1:12" ht="20.100000000000001" customHeight="1" x14ac:dyDescent="0.25">
      <c r="A27"/>
    </row>
    <row r="28" spans="1:12" ht="20.100000000000001" customHeight="1" x14ac:dyDescent="0.25">
      <c r="A28"/>
    </row>
    <row r="29" spans="1:12" ht="20.100000000000001" customHeight="1" x14ac:dyDescent="0.25">
      <c r="A29" s="6" t="s">
        <v>2</v>
      </c>
    </row>
    <row r="30" spans="1:12" ht="20.100000000000001" customHeight="1" x14ac:dyDescent="0.25">
      <c r="A30" s="5" t="str">
        <f>HYPERLINK("#'3.3.1.1-2 Enteric Methane'!A1", "3.3.1.1-2 Enteric methane")</f>
        <v>3.3.1.1-2 Enteric methane</v>
      </c>
    </row>
    <row r="31" spans="1:12" ht="20.100000000000001" customHeight="1" x14ac:dyDescent="0.25">
      <c r="A31" s="5" t="str">
        <f>HYPERLINK("#'4.3.1.1-2 Methane'!A1", "4.3.1.1-2 Manure methane")</f>
        <v>4.3.1.1-2 Manure methane</v>
      </c>
    </row>
    <row r="32" spans="1:12" ht="20.100000000000001" customHeight="1" x14ac:dyDescent="0.25">
      <c r="A32" s="5" t="str">
        <f>HYPERLINK("#'4.3.1.3-4 Direct N20'!A1", "4.3.1.3-4 Direct N20")</f>
        <v>4.3.1.3-4 Direct N20</v>
      </c>
      <c r="D32" s="2" t="s">
        <v>1341</v>
      </c>
      <c r="L32" s="1" t="s">
        <v>1342</v>
      </c>
    </row>
    <row r="33" spans="1:13" ht="20.100000000000001" customHeight="1" x14ac:dyDescent="0.25">
      <c r="A33" s="5" t="str">
        <f>HYPERLINK("#'4.3.1.5 Atmos deposition'!A1", "4.3.1.5 Atmos deposition")</f>
        <v>4.3.1.5 Atmos deposition</v>
      </c>
      <c r="D33" s="19" t="s">
        <v>1343</v>
      </c>
      <c r="E33" s="19" t="s">
        <v>131</v>
      </c>
      <c r="F33" s="19" t="s">
        <v>1344</v>
      </c>
      <c r="G33" s="19" t="s">
        <v>1345</v>
      </c>
      <c r="H33" s="19" t="s">
        <v>1346</v>
      </c>
      <c r="I33" s="19" t="s">
        <v>1347</v>
      </c>
      <c r="J33" s="19" t="s">
        <v>795</v>
      </c>
      <c r="L33" s="19" t="s">
        <v>1348</v>
      </c>
      <c r="M33" s="19" t="s">
        <v>1349</v>
      </c>
    </row>
    <row r="34" spans="1:13" ht="20.100000000000001" customHeight="1" x14ac:dyDescent="0.25">
      <c r="A34" s="5" t="str">
        <f>HYPERLINK("#'4.3.1.6-7 Leaching and runoff'!A1", "4.3.1.6-7 Leaching &amp; runoff")</f>
        <v>4.3.1.6-7 Leaching &amp; runoff</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1350</v>
      </c>
      <c r="L34" s="19" t="s">
        <v>596</v>
      </c>
      <c r="M34" s="19" t="s">
        <v>597</v>
      </c>
    </row>
    <row r="35" spans="1:13" ht="20.100000000000001" customHeight="1" x14ac:dyDescent="0.25">
      <c r="A35" s="5" t="str">
        <f>HYPERLINK("#'4.3.1.8 Manure applied to soils'!A1", "4.3.1.8 Manure applied to soils")</f>
        <v>4.3.1.8 Manure applied to soils</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1350</v>
      </c>
      <c r="L35" s="19" t="s">
        <v>597</v>
      </c>
      <c r="M35" s="19" t="s">
        <v>597</v>
      </c>
    </row>
    <row r="36" spans="1:13" ht="20.100000000000001" customHeight="1" x14ac:dyDescent="0.25">
      <c r="A36" s="5" t="str">
        <f>HYPERLINK("#'4.3.1.9 Soil direct N2O'!A1", "4.3.1.9 Soil direct N2O")</f>
        <v>4.3.1.9 Soil direct N2O</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1350</v>
      </c>
      <c r="L36" s="19" t="s">
        <v>600</v>
      </c>
      <c r="M36" s="19" t="s">
        <v>600</v>
      </c>
    </row>
    <row r="37" spans="1:13" ht="20.100000000000001" customHeight="1" x14ac:dyDescent="0.25">
      <c r="A37" s="5" t="str">
        <f>HYPERLINK("#'4.3.1.10-11 Soil Atmos Dep'!A1", "4.3.1.10-11 Soil Atmos Deposition")</f>
        <v>4.3.1.10-11 Soil Atmos Deposition</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1350</v>
      </c>
      <c r="L37" s="19" t="s">
        <v>601</v>
      </c>
      <c r="M37" s="19" t="s">
        <v>601</v>
      </c>
    </row>
    <row r="38" spans="1:13" ht="20.100000000000001" customHeight="1" x14ac:dyDescent="0.25">
      <c r="A38" s="5" t="str">
        <f>HYPERLINK("#'4.3.1.12-13 Soil leach runoff'!A1", "4.3.1.12-13 Soil leach &amp; runoff")</f>
        <v>4.3.1.12-13 Soil leach &amp; runoff</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1350</v>
      </c>
      <c r="L38" s="19" t="s">
        <v>602</v>
      </c>
      <c r="M38" s="19" t="s">
        <v>602</v>
      </c>
    </row>
    <row r="39" spans="1:13" ht="20.100000000000001" customHeight="1" x14ac:dyDescent="0.25">
      <c r="A39" s="5" t="str">
        <f>HYPERLINK("#'5.1.1.1-2 Inorganic fert N2O'!A1", "5.1.1.1-2 Inorganic fert N2O")</f>
        <v>5.1.1.1-2 Inorganic fert N2O</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1350</v>
      </c>
      <c r="L39" s="19" t="s">
        <v>1351</v>
      </c>
      <c r="M39" s="19" t="s">
        <v>603</v>
      </c>
    </row>
    <row r="40" spans="1:13" ht="20.100000000000001" customHeight="1" x14ac:dyDescent="0.25">
      <c r="A40" s="5" t="str">
        <f>HYPERLINK("#'5.1.1.3-4 Inorganic fert CO2'!A1", "5.1.1.3-4 Inorganic fert CO2")</f>
        <v>5.1.1.3-4 Inorganic fert CO2</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1350</v>
      </c>
      <c r="L40" s="19" t="s">
        <v>1352</v>
      </c>
      <c r="M40" s="19" t="s">
        <v>603</v>
      </c>
    </row>
    <row r="41" spans="1:13" ht="20.100000000000001" customHeight="1" x14ac:dyDescent="0.25">
      <c r="A41" s="5" t="str">
        <f>HYPERLINK("#'5.2.1.1-2 Organic Fert N2O'!A1", "5.2.1.1-2 Organic fert N2O")</f>
        <v>5.2.1.1-2 Organic fert N2O</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1350</v>
      </c>
      <c r="L41" s="19" t="s">
        <v>1353</v>
      </c>
      <c r="M41" s="19" t="s">
        <v>603</v>
      </c>
    </row>
    <row r="42" spans="1:13" ht="20.100000000000001" customHeight="1" x14ac:dyDescent="0.25">
      <c r="A42" s="5" t="str">
        <f>HYPERLINK("#'5.3.1.1-2 Lime CO2'!A1", "5.3.1.1-2 Lime CO2")</f>
        <v>5.3.1.1-2 Lime CO2</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1350</v>
      </c>
      <c r="L42" s="19" t="s">
        <v>1354</v>
      </c>
      <c r="M42" s="19" t="s">
        <v>598</v>
      </c>
    </row>
    <row r="43" spans="1:13" ht="20.100000000000001" customHeight="1" x14ac:dyDescent="0.25">
      <c r="A43" s="5" t="str">
        <f>HYPERLINK("#'5.4.1.1-4 Atmos deposition'!A1", "5.4.1.1-4 Atmos. deposition")</f>
        <v>5.4.1.1-4 Atmos. deposition</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1350</v>
      </c>
      <c r="L43" s="19" t="s">
        <v>1355</v>
      </c>
      <c r="M43" s="19" t="s">
        <v>598</v>
      </c>
    </row>
    <row r="44" spans="1:13" ht="20.100000000000001" customHeight="1" x14ac:dyDescent="0.25">
      <c r="A44" s="5" t="str">
        <f>HYPERLINK("#'5.5.1.1-2 Leaching and runoff'!A1", "5.5.1.1-2 Leaching &amp; runoff")</f>
        <v>5.5.1.1-2 Leaching &amp; runoff</v>
      </c>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1350</v>
      </c>
      <c r="L44" s="19" t="s">
        <v>1356</v>
      </c>
      <c r="M44" s="19" t="s">
        <v>598</v>
      </c>
    </row>
    <row r="45" spans="1:13" ht="20.100000000000001" customHeight="1" x14ac:dyDescent="0.25">
      <c r="A45" s="5" t="str">
        <f>HYPERLINK("#'6.2.1.1-2 Pasture residue N2O'!A1", "6.2.1.1-2 Pasture residue N2O")</f>
        <v>6.2.1.1-2 Pasture residue N2O</v>
      </c>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1350</v>
      </c>
      <c r="L45" s="19" t="s">
        <v>1357</v>
      </c>
      <c r="M45" s="19" t="s">
        <v>599</v>
      </c>
    </row>
    <row r="46" spans="1:13" ht="20.100000000000001" customHeight="1" x14ac:dyDescent="0.25">
      <c r="A46" s="5" t="str">
        <f>HYPERLINK("#'6.3.1.1-2 Leach runoff pasture'!A1", "6.3.1.1-2 Leach &amp; runoff (pasture)")</f>
        <v>6.3.1.1-2 Leach &amp; runoff (pasture)</v>
      </c>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1350</v>
      </c>
      <c r="L46" s="19" t="s">
        <v>1358</v>
      </c>
      <c r="M46" s="19" t="s">
        <v>599</v>
      </c>
    </row>
    <row r="47" spans="1:13" ht="20.100000000000001" customHeight="1" x14ac:dyDescent="0.25">
      <c r="A47" s="5" t="str">
        <f>HYPERLINK("#'8.1.1.1-2 Transport fuel'!A1", "8.1.1.1-2 Transport fuel")</f>
        <v>8.1.1.1-2 Transport fuel</v>
      </c>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1350</v>
      </c>
      <c r="L47" s="19" t="s">
        <v>1359</v>
      </c>
      <c r="M47" s="19" t="s">
        <v>599</v>
      </c>
    </row>
    <row r="48" spans="1:13" ht="20.100000000000001" customHeight="1" x14ac:dyDescent="0.25">
      <c r="A48" s="5" t="str">
        <f>HYPERLINK("#'8.2.1.1-2 Stationary fuel'!A1", "8.2.1.1-2 Stationary fuel")</f>
        <v>8.2.1.1-2 Stationary fuel</v>
      </c>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1350</v>
      </c>
      <c r="L48" s="19" t="s">
        <v>1360</v>
      </c>
      <c r="M48" s="19" t="s">
        <v>599</v>
      </c>
    </row>
    <row r="49" spans="1:13" ht="20.100000000000001" customHeight="1" x14ac:dyDescent="0.25">
      <c r="A49" s="5" t="str">
        <f>HYPERLINK("#'10.1.1-2 Solid waste treatment'!A1", "10.1.1.1-2 Solid waste")</f>
        <v>10.1.1.1-2 Solid waste</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1350</v>
      </c>
      <c r="L49" s="1" t="s">
        <v>1171</v>
      </c>
      <c r="M49" s="1" t="s">
        <v>1171</v>
      </c>
    </row>
    <row r="50" spans="1:13" ht="20.100000000000001" customHeight="1" x14ac:dyDescent="0.25">
      <c r="A50" s="5" t="str">
        <f>HYPERLINK("#'14.1.1-2 Purchased electricity'!A1", "14.1.1-2 Purchased electricity")</f>
        <v>14.1.1-2 Purchased electricity</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1350</v>
      </c>
    </row>
    <row r="51" spans="1:13" ht="20.100000000000001" customHeight="1" x14ac:dyDescent="0.25">
      <c r="A51" s="5" t="str">
        <f>HYPERLINK("#'15 Scope 3'!A1", "15 Scope 3")</f>
        <v>15 Scope 3</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1350</v>
      </c>
    </row>
    <row r="52" spans="1:13" ht="20.100000000000001" customHeight="1" x14ac:dyDescent="0.25">
      <c r="A52" s="5" t="str">
        <f>HYPERLINK("#'Calcs - Manure sent off-site'!A1", "Calcs - Manure sent off-site")</f>
        <v>Calcs - Manure sent off-site</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1350</v>
      </c>
    </row>
    <row r="53" spans="1:13" ht="20.100000000000001" customHeight="1" x14ac:dyDescent="0.25">
      <c r="A53"/>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1350</v>
      </c>
    </row>
    <row r="54" spans="1:13" ht="20.100000000000001" customHeight="1" x14ac:dyDescent="0.25">
      <c r="A54"/>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1350</v>
      </c>
    </row>
    <row r="55" spans="1:13" ht="20.100000000000001" customHeight="1" x14ac:dyDescent="0.25">
      <c r="A55" s="83" t="s">
        <v>1</v>
      </c>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1350</v>
      </c>
    </row>
    <row r="56" spans="1:13" ht="20.100000000000001" customHeight="1" x14ac:dyDescent="0.25">
      <c r="A56" s="5" t="str">
        <f>HYPERLINK("#'Constants - Dairy'!A1", "Constants - Dairy")</f>
        <v>Constants - Dairy</v>
      </c>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1350</v>
      </c>
    </row>
    <row r="57" spans="1:13" ht="20.100000000000001" customHeight="1" x14ac:dyDescent="0.25">
      <c r="A57" s="5" t="str">
        <f>HYPERLINK("#'Constants - Ag Residue'!A1", "Constants - Ag residue")</f>
        <v>Constants - Ag residue</v>
      </c>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1350</v>
      </c>
    </row>
    <row r="58" spans="1:13" ht="20.100000000000001" customHeight="1" x14ac:dyDescent="0.25">
      <c r="A58" s="5" t="str">
        <f>HYPERLINK("#'Constants - Common Livestock'!A1", "Constants - Common Livestock")</f>
        <v>Constants - Common Livestock</v>
      </c>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1350</v>
      </c>
    </row>
    <row r="59" spans="1:13" ht="20.100000000000001" customHeight="1" x14ac:dyDescent="0.25">
      <c r="A59" s="5" t="str">
        <f>HYPERLINK("#'Constants - Electricity'!A1", "Constants - Electricity")</f>
        <v>Constants - Electricity</v>
      </c>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1350</v>
      </c>
    </row>
    <row r="60" spans="1:13" ht="20.100000000000001" customHeight="1" x14ac:dyDescent="0.25">
      <c r="A60" s="5" t="str">
        <f>HYPERLINK("#'Constants - Fertiliser'!A1", "Constants - Fertiliser")</f>
        <v>Constants - Fertiliser</v>
      </c>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1350</v>
      </c>
    </row>
    <row r="61" spans="1:13" ht="20.100000000000001" customHeight="1" x14ac:dyDescent="0.25">
      <c r="A61" s="5" t="str">
        <f>HYPERLINK("#'Constants - Fuel'!A1", "Constants - Fuel")</f>
        <v>Constants - Fuel</v>
      </c>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1350</v>
      </c>
    </row>
    <row r="62" spans="1:13" ht="20.100000000000001" customHeight="1" x14ac:dyDescent="0.25">
      <c r="A62" s="84" t="str">
        <f>HYPERLINK("#'Constants - Scope 3'!A1", "Constants - Scope 3")</f>
        <v>Constants - Scope 3</v>
      </c>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1350</v>
      </c>
    </row>
    <row r="63" spans="1:13" ht="20.100000000000001" customHeight="1" x14ac:dyDescent="0.25">
      <c r="A63" s="5" t="str">
        <f>HYPERLINK("#'Constants - Common'!A1", "Constants - Common")</f>
        <v>Constants - Common</v>
      </c>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1350</v>
      </c>
    </row>
    <row r="64" spans="1:13" ht="20.100000000000001" customHeight="1" x14ac:dyDescent="0.25">
      <c r="A64" s="5" t="str">
        <f>HYPERLINK("#'Constants - Solid Waste'!A1", "Constants - Solid Waste")</f>
        <v>Constants - Solid Waste</v>
      </c>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1350</v>
      </c>
    </row>
    <row r="65" spans="1:10" ht="20.100000000000001" customHeight="1" x14ac:dyDescent="0.25">
      <c r="A65" s="5" t="str">
        <f>HYPERLINK("#'Acknowledgements'!A1", "Acknowledgements")</f>
        <v>Acknowledgements</v>
      </c>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1350</v>
      </c>
    </row>
    <row r="66" spans="1:10" ht="20.100000000000001" customHeight="1" x14ac:dyDescent="0.25">
      <c r="A66"/>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1350</v>
      </c>
    </row>
    <row r="67" spans="1:10" ht="20.100000000000001" customHeight="1" x14ac:dyDescent="0.25">
      <c r="A67"/>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1350</v>
      </c>
    </row>
    <row r="68" spans="1:10" ht="20.100000000000001" customHeight="1" x14ac:dyDescent="0.25">
      <c r="A68"/>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1350</v>
      </c>
    </row>
    <row r="69" spans="1:10" ht="20.100000000000001" customHeight="1" x14ac:dyDescent="0.25">
      <c r="A69"/>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1350</v>
      </c>
    </row>
    <row r="70" spans="1:10" ht="20.100000000000001" customHeight="1" x14ac:dyDescent="0.25">
      <c r="A70"/>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1350</v>
      </c>
    </row>
    <row r="71" spans="1:10" ht="20.100000000000001" customHeight="1" x14ac:dyDescent="0.25">
      <c r="A71"/>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1350</v>
      </c>
    </row>
    <row r="72" spans="1:10" ht="20.100000000000001" customHeight="1" x14ac:dyDescent="0.25">
      <c r="A7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1350</v>
      </c>
    </row>
    <row r="73" spans="1:10" ht="20.100000000000001" customHeight="1" x14ac:dyDescent="0.25">
      <c r="A73"/>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1350</v>
      </c>
    </row>
    <row r="74" spans="1:10" ht="20.100000000000001" customHeight="1" x14ac:dyDescent="0.25">
      <c r="A74"/>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1350</v>
      </c>
    </row>
    <row r="75" spans="1:10" ht="20.100000000000001" customHeight="1" x14ac:dyDescent="0.25">
      <c r="A75"/>
    </row>
    <row r="76" spans="1:10" ht="20.100000000000001" customHeight="1" x14ac:dyDescent="0.25">
      <c r="A76"/>
      <c r="D76" s="2" t="s">
        <v>1361</v>
      </c>
    </row>
    <row r="77" spans="1:10" ht="20.100000000000001" customHeight="1" x14ac:dyDescent="0.25">
      <c r="A77"/>
      <c r="D77" s="19" t="s">
        <v>1343</v>
      </c>
      <c r="E77" s="19" t="s">
        <v>131</v>
      </c>
      <c r="F77" s="19" t="s">
        <v>1344</v>
      </c>
      <c r="G77" s="19" t="s">
        <v>1345</v>
      </c>
      <c r="H77" s="19" t="s">
        <v>1346</v>
      </c>
      <c r="I77" s="19" t="s">
        <v>1347</v>
      </c>
      <c r="J77" s="19" t="s">
        <v>795</v>
      </c>
    </row>
    <row r="78" spans="1:10" ht="20.100000000000001" customHeight="1" x14ac:dyDescent="0.25">
      <c r="A78"/>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1350</v>
      </c>
    </row>
    <row r="79" spans="1:10" ht="20.100000000000001" customHeight="1" x14ac:dyDescent="0.25">
      <c r="A79"/>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1350</v>
      </c>
    </row>
    <row r="80" spans="1:10" ht="20.100000000000001" customHeight="1" x14ac:dyDescent="0.25">
      <c r="A80"/>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1350</v>
      </c>
    </row>
    <row r="81" spans="1:17" ht="20.100000000000001" customHeight="1" x14ac:dyDescent="0.25">
      <c r="A81"/>
    </row>
    <row r="82" spans="1:17" ht="20.100000000000001" customHeight="1" x14ac:dyDescent="0.25">
      <c r="A82"/>
      <c r="D82" s="19" t="s">
        <v>1343</v>
      </c>
      <c r="E82" s="19" t="s">
        <v>131</v>
      </c>
      <c r="F82" s="19" t="s">
        <v>1344</v>
      </c>
      <c r="G82" s="19" t="s">
        <v>1345</v>
      </c>
      <c r="H82" s="19" t="s">
        <v>1346</v>
      </c>
      <c r="I82" s="19" t="s">
        <v>1347</v>
      </c>
      <c r="J82" s="19" t="s">
        <v>795</v>
      </c>
    </row>
    <row r="83" spans="1:17" ht="20.100000000000001" customHeight="1" x14ac:dyDescent="0.25">
      <c r="A83"/>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1350</v>
      </c>
    </row>
    <row r="84" spans="1:17" ht="20.100000000000001" customHeight="1" x14ac:dyDescent="0.25">
      <c r="A84"/>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1350</v>
      </c>
    </row>
    <row r="85" spans="1:17" ht="20.100000000000001" customHeight="1" x14ac:dyDescent="0.25">
      <c r="A85"/>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1350</v>
      </c>
    </row>
    <row r="86" spans="1:17" ht="20.100000000000001" customHeight="1" x14ac:dyDescent="0.25">
      <c r="A86"/>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1350</v>
      </c>
    </row>
    <row r="87" spans="1:17" ht="20.100000000000001" customHeight="1" x14ac:dyDescent="0.25">
      <c r="A87"/>
    </row>
    <row r="88" spans="1:17" ht="20.100000000000001" customHeight="1" x14ac:dyDescent="0.25">
      <c r="A88"/>
      <c r="D88" s="2" t="s">
        <v>1155</v>
      </c>
    </row>
    <row r="89" spans="1:17" ht="20.100000000000001" customHeight="1" x14ac:dyDescent="0.25">
      <c r="A89"/>
      <c r="D89" s="19" t="s">
        <v>1343</v>
      </c>
      <c r="E89" s="19" t="s">
        <v>131</v>
      </c>
      <c r="F89" s="19" t="s">
        <v>1344</v>
      </c>
      <c r="G89" s="19" t="s">
        <v>1345</v>
      </c>
      <c r="H89" s="19" t="s">
        <v>1346</v>
      </c>
      <c r="I89" s="19" t="s">
        <v>1347</v>
      </c>
      <c r="J89" s="19" t="s">
        <v>795</v>
      </c>
      <c r="O89" s="19" t="s">
        <v>131</v>
      </c>
      <c r="P89" s="19" t="s">
        <v>1348</v>
      </c>
      <c r="Q89" s="1" t="str">
        <f>"Table_ProductRegions_" &amp; SUBSTITUTE(SUBSTITUTE(SUBSTITUTE(SUBSTITUTE(O90, " ", ""), ",", ""), "(", ""), ")", "")</f>
        <v>Table_ProductRegions_Barleygrain</v>
      </c>
    </row>
    <row r="90" spans="1:17" ht="20.100000000000001" customHeight="1" x14ac:dyDescent="0.25">
      <c r="A90"/>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1350</v>
      </c>
      <c r="O90" s="19" t="str">
        <f>Table_SourceData_Scope3_Feed[[#This Row],[Product]]</f>
        <v>Barley grain</v>
      </c>
      <c r="P90" s="19" t="str">
        <f>Table_SourceData_Scope3_Feed[[#This Row],[Region of origin]]</f>
        <v>Australia</v>
      </c>
    </row>
    <row r="91" spans="1:17" ht="20.100000000000001" customHeight="1" x14ac:dyDescent="0.25">
      <c r="A91"/>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1350</v>
      </c>
      <c r="O91" s="19" t="str">
        <f>Table_SourceData_Scope3_Feed[[#This Row],[Product]]</f>
        <v>Barley grain</v>
      </c>
      <c r="P91" s="19" t="str">
        <f>Table_SourceData_Scope3_Feed[[#This Row],[Region of origin]]</f>
        <v>NSW</v>
      </c>
    </row>
    <row r="92" spans="1:17" ht="20.100000000000001" customHeight="1" x14ac:dyDescent="0.25">
      <c r="A9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1350</v>
      </c>
      <c r="O92" s="19" t="str">
        <f>Table_SourceData_Scope3_Feed[[#This Row],[Product]]</f>
        <v>Barley grain</v>
      </c>
      <c r="P92" s="19" t="str">
        <f>Table_SourceData_Scope3_Feed[[#This Row],[Region of origin]]</f>
        <v>NT</v>
      </c>
    </row>
    <row r="93" spans="1:17" ht="20.100000000000001" customHeight="1" x14ac:dyDescent="0.25">
      <c r="A93"/>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1350</v>
      </c>
      <c r="O93" s="19" t="str">
        <f>Table_SourceData_Scope3_Feed[[#This Row],[Product]]</f>
        <v>Barley grain</v>
      </c>
      <c r="P93" s="19" t="str">
        <f>Table_SourceData_Scope3_Feed[[#This Row],[Region of origin]]</f>
        <v>QLD</v>
      </c>
    </row>
    <row r="94" spans="1:17" ht="20.100000000000001" customHeight="1" x14ac:dyDescent="0.25">
      <c r="A94"/>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1350</v>
      </c>
      <c r="O94" s="19" t="str">
        <f>Table_SourceData_Scope3_Feed[[#This Row],[Product]]</f>
        <v>Barley grain</v>
      </c>
      <c r="P94" s="19" t="str">
        <f>Table_SourceData_Scope3_Feed[[#This Row],[Region of origin]]</f>
        <v>SA</v>
      </c>
    </row>
    <row r="95" spans="1:17" ht="20.100000000000001" customHeight="1" x14ac:dyDescent="0.25">
      <c r="A95"/>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1350</v>
      </c>
      <c r="O95" s="19" t="str">
        <f>Table_SourceData_Scope3_Feed[[#This Row],[Product]]</f>
        <v>Barley grain</v>
      </c>
      <c r="P95" s="19" t="str">
        <f>Table_SourceData_Scope3_Feed[[#This Row],[Region of origin]]</f>
        <v>TAS</v>
      </c>
    </row>
    <row r="96" spans="1:17" ht="20.100000000000001" customHeight="1" x14ac:dyDescent="0.25">
      <c r="A96"/>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1350</v>
      </c>
      <c r="O96" s="19" t="str">
        <f>Table_SourceData_Scope3_Feed[[#This Row],[Product]]</f>
        <v>Barley grain</v>
      </c>
      <c r="P96" s="19" t="str">
        <f>Table_SourceData_Scope3_Feed[[#This Row],[Region of origin]]</f>
        <v>VIC</v>
      </c>
    </row>
    <row r="97" spans="1:17" ht="20.100000000000001" customHeight="1" x14ac:dyDescent="0.25">
      <c r="A97"/>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1350</v>
      </c>
      <c r="L97" s="19" t="s">
        <v>131</v>
      </c>
      <c r="M97" s="19" t="s">
        <v>1348</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1:17" ht="20.100000000000001" customHeight="1" x14ac:dyDescent="0.25">
      <c r="A98"/>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1350</v>
      </c>
      <c r="L98" s="19" t="str">
        <f>Table_SourceData_Scope3_Feed[[#This Row],[Product]]</f>
        <v>Maize grain</v>
      </c>
      <c r="M98" s="19" t="str">
        <f>Table_SourceData_Scope3_Feed[[#This Row],[Region of origin]]</f>
        <v>Australia</v>
      </c>
    </row>
    <row r="99" spans="1:17" ht="20.100000000000001" customHeight="1" x14ac:dyDescent="0.25">
      <c r="A99"/>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1350</v>
      </c>
      <c r="L99" s="19" t="str">
        <f>Table_SourceData_Scope3_Feed[[#This Row],[Product]]</f>
        <v>Maize grain</v>
      </c>
      <c r="M99" s="19" t="str">
        <f>Table_SourceData_Scope3_Feed[[#This Row],[Region of origin]]</f>
        <v>NSW</v>
      </c>
    </row>
    <row r="100" spans="1:17" ht="20.100000000000001" customHeight="1" x14ac:dyDescent="0.25">
      <c r="A100"/>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1350</v>
      </c>
      <c r="L100" s="19" t="str">
        <f>Table_SourceData_Scope3_Feed[[#This Row],[Product]]</f>
        <v>Maize grain</v>
      </c>
      <c r="M100" s="19" t="str">
        <f>Table_SourceData_Scope3_Feed[[#This Row],[Region of origin]]</f>
        <v>NT</v>
      </c>
    </row>
    <row r="101" spans="1:17" ht="20.100000000000001" customHeight="1" x14ac:dyDescent="0.25">
      <c r="A101"/>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1350</v>
      </c>
      <c r="L101" s="19" t="str">
        <f>Table_SourceData_Scope3_Feed[[#This Row],[Product]]</f>
        <v>Maize grain</v>
      </c>
      <c r="M101" s="19" t="str">
        <f>Table_SourceData_Scope3_Feed[[#This Row],[Region of origin]]</f>
        <v>QLD</v>
      </c>
    </row>
    <row r="102" spans="1:17" ht="20.100000000000001" customHeight="1" x14ac:dyDescent="0.25">
      <c r="A1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1350</v>
      </c>
      <c r="L102" s="19" t="str">
        <f>Table_SourceData_Scope3_Feed[[#This Row],[Product]]</f>
        <v>Maize grain</v>
      </c>
      <c r="M102" s="19" t="str">
        <f>Table_SourceData_Scope3_Feed[[#This Row],[Region of origin]]</f>
        <v>SA</v>
      </c>
    </row>
    <row r="103" spans="1:17" ht="20.100000000000001" customHeight="1" x14ac:dyDescent="0.25">
      <c r="A103"/>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1350</v>
      </c>
      <c r="L103" s="19" t="str">
        <f>Table_SourceData_Scope3_Feed[[#This Row],[Product]]</f>
        <v>Maize grain</v>
      </c>
      <c r="M103" s="19" t="str">
        <f>Table_SourceData_Scope3_Feed[[#This Row],[Region of origin]]</f>
        <v>VIC</v>
      </c>
    </row>
    <row r="104" spans="1:17" ht="20.100000000000001" customHeight="1" x14ac:dyDescent="0.25">
      <c r="A104"/>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1350</v>
      </c>
      <c r="L104" s="19" t="str">
        <f>Table_SourceData_Scope3_Feed[[#This Row],[Product]]</f>
        <v>Maize grain</v>
      </c>
      <c r="M104" s="19" t="str">
        <f>Table_SourceData_Scope3_Feed[[#This Row],[Region of origin]]</f>
        <v>WA</v>
      </c>
      <c r="O104" s="19" t="s">
        <v>131</v>
      </c>
      <c r="P104" s="19" t="s">
        <v>1348</v>
      </c>
      <c r="Q104" s="1" t="str">
        <f>"Table_ProductRegions_" &amp; SUBSTITUTE(SUBSTITUTE(SUBSTITUTE(SUBSTITUTE(O105, " ", ""), ",", ""), "(", ""), ")", "")</f>
        <v>Table_ProductRegions_Sorghumgrain</v>
      </c>
    </row>
    <row r="105" spans="1:17" ht="20.100000000000001" customHeight="1" x14ac:dyDescent="0.25">
      <c r="A105"/>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1350</v>
      </c>
      <c r="O105" s="19" t="str">
        <f>Table_SourceData_Scope3_Feed[[#This Row],[Product]]</f>
        <v>Sorghum grain</v>
      </c>
      <c r="P105" s="19" t="str">
        <f>Table_SourceData_Scope3_Feed[[#This Row],[Region of origin]]</f>
        <v>Australia</v>
      </c>
    </row>
    <row r="106" spans="1:17" ht="20.100000000000001" customHeight="1" x14ac:dyDescent="0.25">
      <c r="A106"/>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1350</v>
      </c>
      <c r="O106" s="19" t="str">
        <f>Table_SourceData_Scope3_Feed[[#This Row],[Product]]</f>
        <v>Sorghum grain</v>
      </c>
      <c r="P106" s="19" t="str">
        <f>Table_SourceData_Scope3_Feed[[#This Row],[Region of origin]]</f>
        <v>NSW</v>
      </c>
    </row>
    <row r="107" spans="1:17" ht="20.100000000000001" customHeight="1" x14ac:dyDescent="0.25">
      <c r="A107"/>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1350</v>
      </c>
      <c r="O107" s="19" t="str">
        <f>Table_SourceData_Scope3_Feed[[#This Row],[Product]]</f>
        <v>Sorghum grain</v>
      </c>
      <c r="P107" s="19" t="str">
        <f>Table_SourceData_Scope3_Feed[[#This Row],[Region of origin]]</f>
        <v>QLD</v>
      </c>
    </row>
    <row r="108" spans="1:17" ht="20.100000000000001" customHeight="1" x14ac:dyDescent="0.25">
      <c r="A108"/>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1350</v>
      </c>
      <c r="O108" s="19" t="str">
        <f>Table_SourceData_Scope3_Feed[[#This Row],[Product]]</f>
        <v>Sorghum grain</v>
      </c>
      <c r="P108" s="19" t="str">
        <f>Table_SourceData_Scope3_Feed[[#This Row],[Region of origin]]</f>
        <v>SA</v>
      </c>
    </row>
    <row r="109" spans="1:17" ht="20.100000000000001" customHeight="1" x14ac:dyDescent="0.25">
      <c r="A109"/>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1350</v>
      </c>
      <c r="L109" s="19" t="s">
        <v>131</v>
      </c>
      <c r="M109" s="19" t="s">
        <v>1348</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1:17" ht="20.100000000000001" customHeight="1" x14ac:dyDescent="0.25">
      <c r="A110"/>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1350</v>
      </c>
      <c r="L110" s="19" t="str">
        <f>Table_SourceData_Scope3_Feed[[#This Row],[Product]]</f>
        <v>Wheat grain</v>
      </c>
      <c r="M110" s="19" t="str">
        <f>Table_SourceData_Scope3_Feed[[#This Row],[Region of origin]]</f>
        <v>Australia</v>
      </c>
    </row>
    <row r="111" spans="1:17" ht="20.100000000000001" customHeight="1" x14ac:dyDescent="0.25">
      <c r="A111"/>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1350</v>
      </c>
      <c r="L111" s="19" t="str">
        <f>Table_SourceData_Scope3_Feed[[#This Row],[Product]]</f>
        <v>Wheat grain</v>
      </c>
      <c r="M111" s="19" t="str">
        <f>Table_SourceData_Scope3_Feed[[#This Row],[Region of origin]]</f>
        <v>NSW</v>
      </c>
    </row>
    <row r="112" spans="1:17" ht="20.100000000000001" customHeight="1" x14ac:dyDescent="0.25">
      <c r="A11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1350</v>
      </c>
      <c r="L112" s="19" t="str">
        <f>Table_SourceData_Scope3_Feed[[#This Row],[Product]]</f>
        <v>Wheat grain</v>
      </c>
      <c r="M112" s="19" t="str">
        <f>Table_SourceData_Scope3_Feed[[#This Row],[Region of origin]]</f>
        <v>NT</v>
      </c>
    </row>
    <row r="113" spans="1:17" ht="20.100000000000001" customHeight="1" x14ac:dyDescent="0.25">
      <c r="A113"/>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1350</v>
      </c>
      <c r="L113" s="19" t="str">
        <f>Table_SourceData_Scope3_Feed[[#This Row],[Product]]</f>
        <v>Wheat grain</v>
      </c>
      <c r="M113" s="19" t="str">
        <f>Table_SourceData_Scope3_Feed[[#This Row],[Region of origin]]</f>
        <v>QLD</v>
      </c>
    </row>
    <row r="114" spans="1:17" ht="20.100000000000001" customHeight="1" x14ac:dyDescent="0.25">
      <c r="A114"/>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1350</v>
      </c>
      <c r="L114" s="19" t="str">
        <f>Table_SourceData_Scope3_Feed[[#This Row],[Product]]</f>
        <v>Wheat grain</v>
      </c>
      <c r="M114" s="19" t="str">
        <f>Table_SourceData_Scope3_Feed[[#This Row],[Region of origin]]</f>
        <v>SA</v>
      </c>
    </row>
    <row r="115" spans="1:17" ht="20.100000000000001" customHeight="1" x14ac:dyDescent="0.25">
      <c r="A115"/>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1350</v>
      </c>
      <c r="L115" s="19" t="str">
        <f>Table_SourceData_Scope3_Feed[[#This Row],[Product]]</f>
        <v>Wheat grain</v>
      </c>
      <c r="M115" s="19" t="str">
        <f>Table_SourceData_Scope3_Feed[[#This Row],[Region of origin]]</f>
        <v>TAS</v>
      </c>
    </row>
    <row r="116" spans="1:17" ht="20.100000000000001" customHeight="1" x14ac:dyDescent="0.25">
      <c r="A116"/>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1350</v>
      </c>
      <c r="L116" s="19" t="str">
        <f>Table_SourceData_Scope3_Feed[[#This Row],[Product]]</f>
        <v>Wheat grain</v>
      </c>
      <c r="M116" s="19" t="str">
        <f>Table_SourceData_Scope3_Feed[[#This Row],[Region of origin]]</f>
        <v>VIC</v>
      </c>
    </row>
    <row r="117" spans="1:17" ht="20.100000000000001" customHeight="1" x14ac:dyDescent="0.25">
      <c r="A117"/>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1350</v>
      </c>
      <c r="L117" s="19" t="str">
        <f>Table_SourceData_Scope3_Feed[[#This Row],[Product]]</f>
        <v>Wheat grain</v>
      </c>
      <c r="M117" s="19" t="str">
        <f>Table_SourceData_Scope3_Feed[[#This Row],[Region of origin]]</f>
        <v>WA</v>
      </c>
      <c r="O117" s="19" t="s">
        <v>131</v>
      </c>
      <c r="P117" s="19" t="s">
        <v>1348</v>
      </c>
      <c r="Q117" s="1" t="str">
        <f>"Table_ProductRegions_" &amp; SUBSTITUTE(SUBSTITUTE(SUBSTITUTE(SUBSTITUTE(O118, " ", ""), ",", ""), "(", ""), ")", "")</f>
        <v>Table_ProductRegions_Cerealhay</v>
      </c>
    </row>
    <row r="118" spans="1:17" ht="20.100000000000001" customHeight="1" x14ac:dyDescent="0.25">
      <c r="A118"/>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1350</v>
      </c>
      <c r="O118" s="19" t="str">
        <f>Table_SourceData_Scope3_Feed[[#This Row],[Product]]</f>
        <v>Cereal hay</v>
      </c>
      <c r="P118" s="19" t="str">
        <f>Table_SourceData_Scope3_Feed[[#This Row],[Region of origin]]</f>
        <v>Australia</v>
      </c>
    </row>
    <row r="119" spans="1:17" ht="20.100000000000001" customHeight="1" x14ac:dyDescent="0.25">
      <c r="A119"/>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1350</v>
      </c>
      <c r="O119" s="19" t="str">
        <f>Table_SourceData_Scope3_Feed[[#This Row],[Product]]</f>
        <v>Cereal hay</v>
      </c>
      <c r="P119" s="19" t="str">
        <f>Table_SourceData_Scope3_Feed[[#This Row],[Region of origin]]</f>
        <v>NSW</v>
      </c>
    </row>
    <row r="120" spans="1:17" ht="20.100000000000001" customHeight="1" x14ac:dyDescent="0.25">
      <c r="A120"/>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1350</v>
      </c>
      <c r="O120" s="19" t="str">
        <f>Table_SourceData_Scope3_Feed[[#This Row],[Product]]</f>
        <v>Cereal hay</v>
      </c>
      <c r="P120" s="19" t="str">
        <f>Table_SourceData_Scope3_Feed[[#This Row],[Region of origin]]</f>
        <v>QLD</v>
      </c>
    </row>
    <row r="121" spans="1:17" ht="20.100000000000001" customHeight="1" x14ac:dyDescent="0.25">
      <c r="A121"/>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1350</v>
      </c>
      <c r="O121" s="19" t="str">
        <f>Table_SourceData_Scope3_Feed[[#This Row],[Product]]</f>
        <v>Cereal hay</v>
      </c>
      <c r="P121" s="19" t="str">
        <f>Table_SourceData_Scope3_Feed[[#This Row],[Region of origin]]</f>
        <v>SA</v>
      </c>
    </row>
    <row r="122" spans="1:17" ht="20.100000000000001" customHeight="1" x14ac:dyDescent="0.25">
      <c r="A12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1350</v>
      </c>
      <c r="O122" s="19" t="str">
        <f>Table_SourceData_Scope3_Feed[[#This Row],[Product]]</f>
        <v>Cereal hay</v>
      </c>
      <c r="P122" s="19" t="str">
        <f>Table_SourceData_Scope3_Feed[[#This Row],[Region of origin]]</f>
        <v>TAS</v>
      </c>
    </row>
    <row r="123" spans="1:17" ht="20.100000000000001" customHeight="1" x14ac:dyDescent="0.25">
      <c r="A123"/>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1350</v>
      </c>
      <c r="O123" s="19" t="str">
        <f>Table_SourceData_Scope3_Feed[[#This Row],[Product]]</f>
        <v>Cereal hay</v>
      </c>
      <c r="P123" s="19" t="str">
        <f>Table_SourceData_Scope3_Feed[[#This Row],[Region of origin]]</f>
        <v>VIC</v>
      </c>
    </row>
    <row r="124" spans="1:17" ht="20.100000000000001" customHeight="1" x14ac:dyDescent="0.25">
      <c r="A124"/>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1350</v>
      </c>
      <c r="L124" s="19" t="s">
        <v>131</v>
      </c>
      <c r="M124" s="19" t="s">
        <v>1348</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5">
      <c r="A125"/>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1350</v>
      </c>
      <c r="L125" s="19" t="str">
        <f>Table_SourceData_Scope3_Feed[[#This Row],[Product]]</f>
        <v>Cereal silage</v>
      </c>
      <c r="M125" s="19" t="str">
        <f>Table_SourceData_Scope3_Feed[[#This Row],[Region of origin]]</f>
        <v>Australia</v>
      </c>
    </row>
    <row r="126" spans="1:17" ht="20.100000000000001" customHeight="1" x14ac:dyDescent="0.25">
      <c r="A126"/>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1350</v>
      </c>
      <c r="L126" s="19" t="str">
        <f>Table_SourceData_Scope3_Feed[[#This Row],[Product]]</f>
        <v>Cereal silage</v>
      </c>
      <c r="M126" s="19" t="str">
        <f>Table_SourceData_Scope3_Feed[[#This Row],[Region of origin]]</f>
        <v>NSW</v>
      </c>
    </row>
    <row r="127" spans="1:17" ht="20.100000000000001" customHeight="1" x14ac:dyDescent="0.25">
      <c r="A127"/>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1350</v>
      </c>
      <c r="L127" s="19" t="str">
        <f>Table_SourceData_Scope3_Feed[[#This Row],[Product]]</f>
        <v>Cereal silage</v>
      </c>
      <c r="M127" s="19" t="str">
        <f>Table_SourceData_Scope3_Feed[[#This Row],[Region of origin]]</f>
        <v>QLD</v>
      </c>
    </row>
    <row r="128" spans="1:17" ht="20.100000000000001" customHeight="1" x14ac:dyDescent="0.25">
      <c r="A128"/>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1350</v>
      </c>
      <c r="L128" s="19" t="str">
        <f>Table_SourceData_Scope3_Feed[[#This Row],[Product]]</f>
        <v>Cereal silage</v>
      </c>
      <c r="M128" s="19" t="str">
        <f>Table_SourceData_Scope3_Feed[[#This Row],[Region of origin]]</f>
        <v>SA</v>
      </c>
    </row>
    <row r="129" spans="1:17" ht="20.100000000000001" customHeight="1" x14ac:dyDescent="0.25">
      <c r="A129"/>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1350</v>
      </c>
      <c r="L129" s="19" t="str">
        <f>Table_SourceData_Scope3_Feed[[#This Row],[Product]]</f>
        <v>Cereal silage</v>
      </c>
      <c r="M129" s="19" t="str">
        <f>Table_SourceData_Scope3_Feed[[#This Row],[Region of origin]]</f>
        <v>TAS</v>
      </c>
    </row>
    <row r="130" spans="1:17" ht="20.100000000000001" customHeight="1" x14ac:dyDescent="0.25">
      <c r="A130"/>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1350</v>
      </c>
      <c r="L130" s="19" t="str">
        <f>Table_SourceData_Scope3_Feed[[#This Row],[Product]]</f>
        <v>Cereal silage</v>
      </c>
      <c r="M130" s="19" t="str">
        <f>Table_SourceData_Scope3_Feed[[#This Row],[Region of origin]]</f>
        <v>VIC</v>
      </c>
      <c r="O130" s="19" t="s">
        <v>131</v>
      </c>
      <c r="P130" s="19" t="s">
        <v>1348</v>
      </c>
      <c r="Q130" s="1" t="str">
        <f>"Table_ProductRegions_" &amp; SUBSTITUTE(SUBSTITUTE(SUBSTITUTE(SUBSTITUTE(O131, " ", ""), ",", ""), "(", ""), ")", "")</f>
        <v>Table_ProductRegions_Lucernehay</v>
      </c>
    </row>
    <row r="131" spans="1:17" ht="20.100000000000001" customHeight="1" x14ac:dyDescent="0.25">
      <c r="A131"/>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1350</v>
      </c>
      <c r="O131" s="19" t="str">
        <f>Table_SourceData_Scope3_Feed[[#This Row],[Product]]</f>
        <v>Lucerne hay</v>
      </c>
      <c r="P131" s="19" t="str">
        <f>Table_SourceData_Scope3_Feed[[#This Row],[Region of origin]]</f>
        <v>Australia</v>
      </c>
    </row>
    <row r="132" spans="1:17" ht="20.100000000000001" customHeight="1" x14ac:dyDescent="0.25">
      <c r="A13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1350</v>
      </c>
      <c r="O132" s="19" t="str">
        <f>Table_SourceData_Scope3_Feed[[#This Row],[Product]]</f>
        <v>Lucerne hay</v>
      </c>
      <c r="P132" s="19" t="str">
        <f>Table_SourceData_Scope3_Feed[[#This Row],[Region of origin]]</f>
        <v>NSW</v>
      </c>
    </row>
    <row r="133" spans="1:17" ht="20.100000000000001" customHeight="1" x14ac:dyDescent="0.25">
      <c r="A133"/>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1350</v>
      </c>
      <c r="O133" s="19" t="str">
        <f>Table_SourceData_Scope3_Feed[[#This Row],[Product]]</f>
        <v>Lucerne hay</v>
      </c>
      <c r="P133" s="19" t="str">
        <f>Table_SourceData_Scope3_Feed[[#This Row],[Region of origin]]</f>
        <v>QLD</v>
      </c>
    </row>
    <row r="134" spans="1:17" ht="20.100000000000001" customHeight="1" x14ac:dyDescent="0.25">
      <c r="A134"/>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1350</v>
      </c>
      <c r="O134" s="19" t="str">
        <f>Table_SourceData_Scope3_Feed[[#This Row],[Product]]</f>
        <v>Lucerne hay</v>
      </c>
      <c r="P134" s="19" t="str">
        <f>Table_SourceData_Scope3_Feed[[#This Row],[Region of origin]]</f>
        <v>SA</v>
      </c>
    </row>
    <row r="135" spans="1:17" ht="20.100000000000001" customHeight="1" x14ac:dyDescent="0.25">
      <c r="A135"/>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1350</v>
      </c>
      <c r="O135" s="19" t="str">
        <f>Table_SourceData_Scope3_Feed[[#This Row],[Product]]</f>
        <v>Lucerne hay</v>
      </c>
      <c r="P135" s="19" t="str">
        <f>Table_SourceData_Scope3_Feed[[#This Row],[Region of origin]]</f>
        <v>TAS</v>
      </c>
    </row>
    <row r="136" spans="1:17" ht="20.100000000000001" customHeight="1" x14ac:dyDescent="0.25">
      <c r="A136"/>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1350</v>
      </c>
      <c r="O136" s="19" t="str">
        <f>Table_SourceData_Scope3_Feed[[#This Row],[Product]]</f>
        <v>Lucerne hay</v>
      </c>
      <c r="P136" s="19" t="str">
        <f>Table_SourceData_Scope3_Feed[[#This Row],[Region of origin]]</f>
        <v>VIC</v>
      </c>
    </row>
    <row r="137" spans="1:17" ht="20.100000000000001" customHeight="1" x14ac:dyDescent="0.25">
      <c r="A137"/>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1350</v>
      </c>
      <c r="L137" s="19" t="s">
        <v>131</v>
      </c>
      <c r="M137" s="19" t="s">
        <v>1348</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1:17" ht="20.100000000000001" customHeight="1" x14ac:dyDescent="0.25">
      <c r="A138"/>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1350</v>
      </c>
      <c r="L138" s="19" t="str">
        <f>Table_SourceData_Scope3_Feed[[#This Row],[Product]]</f>
        <v>Oaten hay</v>
      </c>
      <c r="M138" s="19" t="str">
        <f>Table_SourceData_Scope3_Feed[[#This Row],[Region of origin]]</f>
        <v>Australia</v>
      </c>
    </row>
    <row r="139" spans="1:17" ht="20.100000000000001" customHeight="1" x14ac:dyDescent="0.25">
      <c r="A139"/>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1350</v>
      </c>
      <c r="L139" s="19" t="str">
        <f>Table_SourceData_Scope3_Feed[[#This Row],[Product]]</f>
        <v>Oaten hay</v>
      </c>
      <c r="M139" s="19" t="str">
        <f>Table_SourceData_Scope3_Feed[[#This Row],[Region of origin]]</f>
        <v>NSW</v>
      </c>
    </row>
    <row r="140" spans="1:17" ht="20.100000000000001" customHeight="1" x14ac:dyDescent="0.25">
      <c r="A140"/>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1350</v>
      </c>
      <c r="L140" s="19" t="str">
        <f>Table_SourceData_Scope3_Feed[[#This Row],[Product]]</f>
        <v>Oaten hay</v>
      </c>
      <c r="M140" s="19" t="str">
        <f>Table_SourceData_Scope3_Feed[[#This Row],[Region of origin]]</f>
        <v>QLD</v>
      </c>
    </row>
    <row r="141" spans="1:17" ht="20.100000000000001" customHeight="1" x14ac:dyDescent="0.25">
      <c r="A141"/>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1350</v>
      </c>
      <c r="L141" s="19" t="str">
        <f>Table_SourceData_Scope3_Feed[[#This Row],[Product]]</f>
        <v>Oaten hay</v>
      </c>
      <c r="M141" s="19" t="str">
        <f>Table_SourceData_Scope3_Feed[[#This Row],[Region of origin]]</f>
        <v>SA</v>
      </c>
    </row>
    <row r="142" spans="1:17" ht="20.100000000000001" customHeight="1" x14ac:dyDescent="0.25">
      <c r="A14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1350</v>
      </c>
      <c r="L142" s="19" t="str">
        <f>Table_SourceData_Scope3_Feed[[#This Row],[Product]]</f>
        <v>Oaten hay</v>
      </c>
      <c r="M142" s="19" t="str">
        <f>Table_SourceData_Scope3_Feed[[#This Row],[Region of origin]]</f>
        <v>VIC</v>
      </c>
    </row>
    <row r="143" spans="1:17" ht="20.100000000000001" customHeight="1" x14ac:dyDescent="0.25">
      <c r="A143"/>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1350</v>
      </c>
      <c r="L143" s="19" t="str">
        <f>Table_SourceData_Scope3_Feed[[#This Row],[Product]]</f>
        <v>Oaten hay</v>
      </c>
      <c r="M143" s="19" t="str">
        <f>Table_SourceData_Scope3_Feed[[#This Row],[Region of origin]]</f>
        <v>WA</v>
      </c>
      <c r="O143" s="19" t="s">
        <v>131</v>
      </c>
      <c r="P143" s="19" t="s">
        <v>1348</v>
      </c>
      <c r="Q143" s="1" t="str">
        <f>"Table_ProductRegions_" &amp; SUBSTITUTE(SUBSTITUTE(SUBSTITUTE(SUBSTITUTE(O144, " ", ""), ",", ""), "(", ""), ")", "")</f>
        <v>Table_ProductRegions_Pasturehay</v>
      </c>
    </row>
    <row r="144" spans="1:17" ht="20.100000000000001" customHeight="1" x14ac:dyDescent="0.25">
      <c r="A144"/>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1350</v>
      </c>
      <c r="O144" s="19" t="str">
        <f>Table_SourceData_Scope3_Feed[[#This Row],[Product]]</f>
        <v>Pasture hay</v>
      </c>
      <c r="P144" s="19" t="str">
        <f>Table_SourceData_Scope3_Feed[[#This Row],[Region of origin]]</f>
        <v>Australia</v>
      </c>
    </row>
    <row r="145" spans="1:17" ht="20.100000000000001" customHeight="1" x14ac:dyDescent="0.25">
      <c r="A145"/>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1350</v>
      </c>
      <c r="O145" s="19" t="str">
        <f>Table_SourceData_Scope3_Feed[[#This Row],[Product]]</f>
        <v>Pasture hay</v>
      </c>
      <c r="P145" s="19" t="str">
        <f>Table_SourceData_Scope3_Feed[[#This Row],[Region of origin]]</f>
        <v>NSW</v>
      </c>
    </row>
    <row r="146" spans="1:17" ht="20.100000000000001" customHeight="1" x14ac:dyDescent="0.25">
      <c r="A146"/>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1350</v>
      </c>
      <c r="O146" s="19" t="str">
        <f>Table_SourceData_Scope3_Feed[[#This Row],[Product]]</f>
        <v>Pasture hay</v>
      </c>
      <c r="P146" s="19" t="str">
        <f>Table_SourceData_Scope3_Feed[[#This Row],[Region of origin]]</f>
        <v>QLD</v>
      </c>
    </row>
    <row r="147" spans="1:17" ht="20.100000000000001" customHeight="1" x14ac:dyDescent="0.25">
      <c r="A147"/>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1350</v>
      </c>
      <c r="O147" s="19" t="str">
        <f>Table_SourceData_Scope3_Feed[[#This Row],[Product]]</f>
        <v>Pasture hay</v>
      </c>
      <c r="P147" s="19" t="str">
        <f>Table_SourceData_Scope3_Feed[[#This Row],[Region of origin]]</f>
        <v>SA</v>
      </c>
    </row>
    <row r="148" spans="1:17" ht="20.100000000000001" customHeight="1" x14ac:dyDescent="0.25">
      <c r="A148"/>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1350</v>
      </c>
      <c r="O148" s="19" t="str">
        <f>Table_SourceData_Scope3_Feed[[#This Row],[Product]]</f>
        <v>Pasture hay</v>
      </c>
      <c r="P148" s="19" t="str">
        <f>Table_SourceData_Scope3_Feed[[#This Row],[Region of origin]]</f>
        <v>TAS</v>
      </c>
    </row>
    <row r="149" spans="1:17" ht="20.100000000000001" customHeight="1" x14ac:dyDescent="0.25">
      <c r="A149"/>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1350</v>
      </c>
      <c r="O149" s="19" t="str">
        <f>Table_SourceData_Scope3_Feed[[#This Row],[Product]]</f>
        <v>Pasture hay</v>
      </c>
      <c r="P149" s="19" t="str">
        <f>Table_SourceData_Scope3_Feed[[#This Row],[Region of origin]]</f>
        <v>VIC</v>
      </c>
    </row>
    <row r="150" spans="1:17" ht="20.100000000000001" customHeight="1" x14ac:dyDescent="0.25">
      <c r="A150"/>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1350</v>
      </c>
      <c r="L150" s="274" t="s">
        <v>131</v>
      </c>
      <c r="M150" s="274" t="s">
        <v>1348</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5">
      <c r="A151"/>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1350</v>
      </c>
      <c r="L151" s="1" t="str">
        <f>Table_SourceData_Scope3_Feed[[#This Row],[Product]]</f>
        <v>Canola meal</v>
      </c>
      <c r="M151" s="1" t="str">
        <f>Table_SourceData_Scope3_Feed[[#This Row],[Region of origin]]</f>
        <v>Australia</v>
      </c>
      <c r="O151" s="19" t="s">
        <v>131</v>
      </c>
      <c r="P151" s="19" t="s">
        <v>1348</v>
      </c>
      <c r="Q151" s="1" t="str">
        <f>"Table_ProductRegions_" &amp; SUBSTITUTE(SUBSTITUTE(SUBSTITUTE(SUBSTITUTE(O152, " ", ""), ",", ""), "(", ""), ")", "")</f>
        <v>Table_ProductRegions_Meatmeal</v>
      </c>
    </row>
    <row r="152" spans="1:17" ht="20.100000000000001" customHeight="1" x14ac:dyDescent="0.25">
      <c r="A15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1350</v>
      </c>
      <c r="L152" s="19" t="s">
        <v>131</v>
      </c>
      <c r="M152" s="19" t="s">
        <v>1348</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5">
      <c r="A153"/>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1350</v>
      </c>
      <c r="L153" s="19" t="str">
        <f>Table_SourceData_Scope3_Feed[[#This Row],[Product]]</f>
        <v>Soybean meal</v>
      </c>
      <c r="M153" s="19" t="str">
        <f>Table_SourceData_Scope3_Feed[[#This Row],[Region of origin]]</f>
        <v>Brazil</v>
      </c>
      <c r="O153" s="19" t="s">
        <v>131</v>
      </c>
      <c r="P153" s="19" t="s">
        <v>1348</v>
      </c>
      <c r="Q153" s="1" t="str">
        <f>"Table_ProductRegions_" &amp; SUBSTITUTE(SUBSTITUTE(SUBSTITUTE(SUBSTITUTE(O154, " ", ""), ",", ""), "(", ""), ")", "")</f>
        <v>Table_ProductRegions_Wheatbran</v>
      </c>
    </row>
    <row r="154" spans="1:17" ht="20.100000000000001" customHeight="1" x14ac:dyDescent="0.25">
      <c r="A154"/>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1350</v>
      </c>
      <c r="L154" s="19" t="s">
        <v>131</v>
      </c>
      <c r="M154" s="19" t="s">
        <v>1348</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5">
      <c r="A155"/>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1350</v>
      </c>
      <c r="L155" s="19" t="str">
        <f>Table_SourceData_Scope3_Feed[[#This Row],[Product]]</f>
        <v>Bentonite</v>
      </c>
      <c r="M155" s="19" t="str">
        <f>Table_SourceData_Scope3_Feed[[#This Row],[Region of origin]]</f>
        <v>Australia</v>
      </c>
      <c r="O155" s="19" t="s">
        <v>131</v>
      </c>
      <c r="P155" s="19" t="s">
        <v>1348</v>
      </c>
      <c r="Q155" s="1" t="str">
        <f>"Table_ProductRegions_" &amp; SUBSTITUTE(SUBSTITUTE(SUBSTITUTE(SUBSTITUTE(O156, " ", ""), ",", ""), "(", ""), ")", "")</f>
        <v>Table_ProductRegions_Canolaoil</v>
      </c>
    </row>
    <row r="156" spans="1:17" ht="20.100000000000001" customHeight="1" x14ac:dyDescent="0.25">
      <c r="A156"/>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1350</v>
      </c>
      <c r="L156" s="19" t="s">
        <v>131</v>
      </c>
      <c r="M156" s="19" t="s">
        <v>1348</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5">
      <c r="A157"/>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1350</v>
      </c>
      <c r="L157" s="19" t="str">
        <f>Table_SourceData_Scope3_Feed[[#This Row],[Product]]</f>
        <v>Cotton seed</v>
      </c>
      <c r="M157" s="19" t="str">
        <f>Table_SourceData_Scope3_Feed[[#This Row],[Region of origin]]</f>
        <v>Australia</v>
      </c>
      <c r="O157" s="19" t="s">
        <v>131</v>
      </c>
      <c r="P157" s="19" t="s">
        <v>1348</v>
      </c>
      <c r="Q157" s="1" t="str">
        <f>"Table_ProductRegions_" &amp; SUBSTITUTE(SUBSTITUTE(SUBSTITUTE(SUBSTITUTE(O158, " ", ""), ",", ""), "(", ""), ")", "")</f>
        <v>Table_ProductRegions_Molasses</v>
      </c>
    </row>
    <row r="158" spans="1:17" ht="20.100000000000001" customHeight="1" x14ac:dyDescent="0.25">
      <c r="A158"/>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59" spans="1:17" ht="20.100000000000001" customHeight="1" x14ac:dyDescent="0.25">
      <c r="A159"/>
    </row>
    <row r="160" spans="1:17" ht="20.100000000000001" customHeight="1" x14ac:dyDescent="0.25">
      <c r="A160"/>
    </row>
    <row r="161" spans="4:14" ht="20.100000000000001" customHeight="1" x14ac:dyDescent="0.25">
      <c r="D161" s="19" t="s">
        <v>1343</v>
      </c>
      <c r="E161" s="19" t="s">
        <v>131</v>
      </c>
      <c r="F161" s="19" t="s">
        <v>1344</v>
      </c>
      <c r="G161" s="19" t="s">
        <v>1345</v>
      </c>
      <c r="H161" s="19" t="s">
        <v>1346</v>
      </c>
      <c r="I161" s="19" t="s">
        <v>1347</v>
      </c>
      <c r="J161" s="19" t="s">
        <v>795</v>
      </c>
    </row>
    <row r="162" spans="4:14" ht="20.100000000000001" customHeight="1" x14ac:dyDescent="0.25">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1350</v>
      </c>
    </row>
    <row r="163" spans="4:14" ht="20.100000000000001" customHeight="1" x14ac:dyDescent="0.25">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1350</v>
      </c>
    </row>
    <row r="164" spans="4:14" ht="20.100000000000001" customHeight="1" x14ac:dyDescent="0.25">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1350</v>
      </c>
    </row>
    <row r="165" spans="4:14" ht="20.100000000000001" customHeight="1" x14ac:dyDescent="0.25">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1350</v>
      </c>
    </row>
    <row r="166" spans="4:14" ht="20.100000000000001" customHeight="1" x14ac:dyDescent="0.25"/>
    <row r="167" spans="4:14" ht="20.100000000000001" customHeight="1" x14ac:dyDescent="0.25">
      <c r="D167" s="19" t="s">
        <v>1343</v>
      </c>
      <c r="E167" s="19" t="s">
        <v>131</v>
      </c>
      <c r="F167" s="19" t="s">
        <v>1344</v>
      </c>
      <c r="G167" s="19" t="s">
        <v>1345</v>
      </c>
      <c r="H167" s="19" t="s">
        <v>1346</v>
      </c>
      <c r="I167" s="19" t="s">
        <v>1347</v>
      </c>
      <c r="J167" s="19" t="s">
        <v>795</v>
      </c>
    </row>
    <row r="168" spans="4:14" ht="20.100000000000001" customHeight="1" x14ac:dyDescent="0.25">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1350</v>
      </c>
    </row>
    <row r="169" spans="4:14" ht="20.100000000000001" customHeight="1" x14ac:dyDescent="0.25">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1350</v>
      </c>
    </row>
    <row r="170" spans="4:14" ht="20.100000000000001" customHeight="1" x14ac:dyDescent="0.25">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1350</v>
      </c>
    </row>
    <row r="171" spans="4:14" ht="20.100000000000001" customHeight="1" x14ac:dyDescent="0.25"/>
    <row r="172" spans="4:14" ht="20.100000000000001" customHeight="1" x14ac:dyDescent="0.25">
      <c r="D172" s="2" t="s">
        <v>1362</v>
      </c>
    </row>
    <row r="173" spans="4:14" ht="20.100000000000001" customHeight="1" x14ac:dyDescent="0.25">
      <c r="D173" s="19" t="s">
        <v>1343</v>
      </c>
      <c r="E173" s="19" t="s">
        <v>131</v>
      </c>
      <c r="F173" s="19" t="s">
        <v>1344</v>
      </c>
      <c r="G173" s="19" t="s">
        <v>765</v>
      </c>
      <c r="H173" s="19" t="s">
        <v>656</v>
      </c>
      <c r="I173" s="19" t="s">
        <v>657</v>
      </c>
      <c r="J173" s="19" t="s">
        <v>1363</v>
      </c>
      <c r="K173" s="19" t="s">
        <v>1345</v>
      </c>
      <c r="L173" s="19" t="s">
        <v>1346</v>
      </c>
      <c r="M173" s="19" t="s">
        <v>1347</v>
      </c>
      <c r="N173" s="19" t="s">
        <v>795</v>
      </c>
    </row>
    <row r="174" spans="4:14" ht="20.100000000000001" customHeight="1" x14ac:dyDescent="0.25">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1350</v>
      </c>
    </row>
    <row r="175" spans="4:14" ht="20.100000000000001" customHeight="1" x14ac:dyDescent="0.25">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1350</v>
      </c>
    </row>
    <row r="176" spans="4:14" ht="20.100000000000001" customHeight="1" x14ac:dyDescent="0.25">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1350</v>
      </c>
    </row>
    <row r="177" spans="4:14" ht="20.100000000000001" customHeight="1" x14ac:dyDescent="0.25">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1350</v>
      </c>
    </row>
    <row r="178" spans="4:14" ht="20.100000000000001" customHeight="1" x14ac:dyDescent="0.25">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1350</v>
      </c>
    </row>
    <row r="179" spans="4:14" ht="20.100000000000001" customHeight="1" x14ac:dyDescent="0.25">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1350</v>
      </c>
    </row>
    <row r="180" spans="4:14" ht="20.100000000000001" customHeight="1" x14ac:dyDescent="0.25">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1350</v>
      </c>
    </row>
    <row r="181" spans="4:14" ht="20.100000000000001" customHeight="1" x14ac:dyDescent="0.25">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1350</v>
      </c>
    </row>
    <row r="182" spans="4:14" ht="20.100000000000001" customHeight="1" x14ac:dyDescent="0.25">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1350</v>
      </c>
    </row>
    <row r="183" spans="4:14" ht="20.100000000000001" customHeight="1" x14ac:dyDescent="0.25">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1350</v>
      </c>
    </row>
    <row r="184" spans="4:14" ht="20.100000000000001" customHeight="1" x14ac:dyDescent="0.25">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1350</v>
      </c>
    </row>
    <row r="185" spans="4:14" ht="20.100000000000001" customHeight="1" x14ac:dyDescent="0.25">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1350</v>
      </c>
    </row>
    <row r="186" spans="4:14" ht="20.100000000000001" customHeight="1" x14ac:dyDescent="0.25">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1350</v>
      </c>
    </row>
    <row r="187" spans="4:14" ht="20.100000000000001" customHeight="1" x14ac:dyDescent="0.25">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1350</v>
      </c>
    </row>
    <row r="188" spans="4:14" ht="20.100000000000001" customHeight="1" x14ac:dyDescent="0.25">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1350</v>
      </c>
    </row>
    <row r="189" spans="4:14" ht="20.100000000000001" customHeight="1" x14ac:dyDescent="0.25">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1350</v>
      </c>
    </row>
    <row r="190" spans="4:14" ht="20.100000000000001" customHeight="1" x14ac:dyDescent="0.25">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1350</v>
      </c>
    </row>
    <row r="191" spans="4:14" ht="20.100000000000001" customHeight="1" x14ac:dyDescent="0.25">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1350</v>
      </c>
    </row>
    <row r="192" spans="4:14" ht="20.100000000000001" customHeight="1" x14ac:dyDescent="0.25">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1350</v>
      </c>
    </row>
    <row r="193" spans="4:14" ht="20.100000000000001" customHeight="1" x14ac:dyDescent="0.25">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1350</v>
      </c>
    </row>
    <row r="194" spans="4:14" ht="20.100000000000001" customHeight="1" x14ac:dyDescent="0.25">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1350</v>
      </c>
    </row>
    <row r="195" spans="4:14" ht="20.100000000000001" customHeight="1" x14ac:dyDescent="0.25">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1350</v>
      </c>
    </row>
    <row r="196" spans="4:14" ht="20.100000000000001" customHeight="1" x14ac:dyDescent="0.25">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1350</v>
      </c>
    </row>
    <row r="197" spans="4:14" ht="20.100000000000001" customHeight="1" x14ac:dyDescent="0.25">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1350</v>
      </c>
    </row>
    <row r="198" spans="4:14" ht="20.100000000000001" customHeight="1" x14ac:dyDescent="0.25">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1350</v>
      </c>
    </row>
    <row r="199" spans="4:14" ht="20.100000000000001" customHeight="1" x14ac:dyDescent="0.25"/>
    <row r="200" spans="4:14" ht="20.100000000000001" customHeight="1" x14ac:dyDescent="0.25">
      <c r="D200" s="2" t="s">
        <v>1364</v>
      </c>
    </row>
    <row r="201" spans="4:14" ht="20.100000000000001" customHeight="1" x14ac:dyDescent="0.25">
      <c r="D201" s="19" t="s">
        <v>1343</v>
      </c>
      <c r="E201" s="19" t="s">
        <v>131</v>
      </c>
      <c r="F201" s="19" t="s">
        <v>1344</v>
      </c>
      <c r="G201" s="19" t="s">
        <v>1345</v>
      </c>
      <c r="H201" s="19" t="s">
        <v>1346</v>
      </c>
      <c r="I201" s="19" t="s">
        <v>1347</v>
      </c>
      <c r="J201" s="19" t="s">
        <v>795</v>
      </c>
    </row>
    <row r="202" spans="4:14" ht="20.100000000000001" customHeight="1" x14ac:dyDescent="0.25">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1350</v>
      </c>
    </row>
    <row r="203" spans="4:14" ht="20.100000000000001" customHeight="1" x14ac:dyDescent="0.25">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1350</v>
      </c>
    </row>
    <row r="204" spans="4:14" ht="20.100000000000001" customHeight="1" x14ac:dyDescent="0.25">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1350</v>
      </c>
    </row>
    <row r="205" spans="4:14" ht="20.100000000000001" customHeight="1" x14ac:dyDescent="0.25">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1350</v>
      </c>
    </row>
    <row r="206" spans="4:14" ht="20.100000000000001" customHeight="1" x14ac:dyDescent="0.25">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1350</v>
      </c>
    </row>
    <row r="207" spans="4:14" ht="20.100000000000001" customHeight="1" x14ac:dyDescent="0.25">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1350</v>
      </c>
    </row>
    <row r="208" spans="4:14" ht="20.100000000000001" customHeight="1" x14ac:dyDescent="0.25">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1350</v>
      </c>
    </row>
    <row r="209" spans="4:10" ht="20.100000000000001" customHeight="1" x14ac:dyDescent="0.25">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1350</v>
      </c>
    </row>
    <row r="210" spans="4:10" ht="20.100000000000001" customHeight="1" x14ac:dyDescent="0.25"/>
    <row r="211" spans="4:10" ht="20.100000000000001" customHeight="1" x14ac:dyDescent="0.25">
      <c r="D211" s="2" t="s">
        <v>1365</v>
      </c>
    </row>
    <row r="212" spans="4:10" ht="20.100000000000001" customHeight="1" x14ac:dyDescent="0.25">
      <c r="D212" s="19" t="s">
        <v>1343</v>
      </c>
      <c r="E212" s="19" t="s">
        <v>131</v>
      </c>
      <c r="F212" s="19" t="s">
        <v>1344</v>
      </c>
      <c r="G212" s="19" t="s">
        <v>1345</v>
      </c>
      <c r="H212" s="19" t="s">
        <v>1346</v>
      </c>
      <c r="I212" s="19" t="s">
        <v>1347</v>
      </c>
      <c r="J212" s="19" t="s">
        <v>795</v>
      </c>
    </row>
    <row r="213" spans="4:10" ht="20.100000000000001" customHeight="1" x14ac:dyDescent="0.25">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1350</v>
      </c>
    </row>
    <row r="214" spans="4:10" ht="20.100000000000001" customHeight="1" x14ac:dyDescent="0.25">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1350</v>
      </c>
    </row>
    <row r="215" spans="4:10" ht="20.100000000000001" customHeight="1" x14ac:dyDescent="0.25">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1350</v>
      </c>
    </row>
    <row r="216" spans="4:10" ht="20.100000000000001" customHeight="1" x14ac:dyDescent="0.25">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1350</v>
      </c>
    </row>
    <row r="217" spans="4:10" ht="20.100000000000001" customHeight="1" x14ac:dyDescent="0.25"/>
    <row r="218" spans="4:10" ht="20.100000000000001" customHeight="1" x14ac:dyDescent="0.25">
      <c r="D218" s="2" t="s">
        <v>1126</v>
      </c>
    </row>
    <row r="219" spans="4:10" ht="20.100000000000001" customHeight="1" x14ac:dyDescent="0.25">
      <c r="D219" s="19" t="s">
        <v>1343</v>
      </c>
      <c r="E219" s="19" t="s">
        <v>131</v>
      </c>
      <c r="F219" s="19" t="s">
        <v>1344</v>
      </c>
      <c r="G219" s="19" t="s">
        <v>1345</v>
      </c>
      <c r="H219" s="19" t="s">
        <v>1346</v>
      </c>
      <c r="I219" s="19" t="s">
        <v>1347</v>
      </c>
      <c r="J219" s="19" t="s">
        <v>795</v>
      </c>
    </row>
    <row r="220" spans="4:10" ht="20.100000000000001" customHeight="1" x14ac:dyDescent="0.25">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1350</v>
      </c>
    </row>
    <row r="221" spans="4:10" ht="20.100000000000001" customHeight="1" x14ac:dyDescent="0.25">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1350</v>
      </c>
    </row>
    <row r="222" spans="4:10" ht="20.100000000000001" customHeight="1" x14ac:dyDescent="0.25">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1350</v>
      </c>
    </row>
    <row r="223" spans="4:10" ht="20.100000000000001" customHeight="1" x14ac:dyDescent="0.25">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1350</v>
      </c>
    </row>
    <row r="224" spans="4:10" ht="20.100000000000001" customHeight="1" x14ac:dyDescent="0.25">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1350</v>
      </c>
    </row>
    <row r="225" spans="4:10" ht="20.100000000000001" customHeight="1" x14ac:dyDescent="0.25">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1350</v>
      </c>
    </row>
    <row r="226" spans="4:10" ht="20.100000000000001" customHeight="1" x14ac:dyDescent="0.25">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1350</v>
      </c>
    </row>
    <row r="227" spans="4:10" ht="20.100000000000001" customHeight="1" x14ac:dyDescent="0.25">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1350</v>
      </c>
    </row>
    <row r="228" spans="4:10" ht="20.100000000000001" customHeight="1" x14ac:dyDescent="0.25">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1350</v>
      </c>
    </row>
    <row r="229" spans="4:10" ht="20.100000000000001" customHeight="1" x14ac:dyDescent="0.25">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1350</v>
      </c>
    </row>
    <row r="230" spans="4:10" ht="20.100000000000001" customHeight="1" x14ac:dyDescent="0.25">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1350</v>
      </c>
    </row>
    <row r="231" spans="4:10" ht="20.100000000000001" customHeight="1" x14ac:dyDescent="0.25">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1350</v>
      </c>
    </row>
    <row r="232" spans="4:10" ht="20.100000000000001" customHeight="1" x14ac:dyDescent="0.25"/>
    <row r="233" spans="4:10" ht="20.100000000000001" customHeight="1" x14ac:dyDescent="0.25">
      <c r="D233" s="2" t="s">
        <v>1366</v>
      </c>
    </row>
    <row r="234" spans="4:10" ht="20.100000000000001" customHeight="1" x14ac:dyDescent="0.25">
      <c r="D234" s="19" t="s">
        <v>1343</v>
      </c>
      <c r="E234" s="19" t="s">
        <v>131</v>
      </c>
      <c r="F234" s="19" t="s">
        <v>1344</v>
      </c>
      <c r="G234" s="19" t="s">
        <v>1345</v>
      </c>
      <c r="H234" s="19" t="s">
        <v>1346</v>
      </c>
      <c r="I234" s="19" t="s">
        <v>1347</v>
      </c>
      <c r="J234" s="19" t="s">
        <v>795</v>
      </c>
    </row>
    <row r="235" spans="4:10" ht="20.100000000000001" customHeight="1" x14ac:dyDescent="0.25">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1350</v>
      </c>
    </row>
    <row r="236" spans="4:10" ht="20.100000000000001" customHeight="1" x14ac:dyDescent="0.25">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1350</v>
      </c>
    </row>
    <row r="237" spans="4:10" ht="20.100000000000001" customHeight="1" x14ac:dyDescent="0.25">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1350</v>
      </c>
    </row>
    <row r="238" spans="4:10" ht="20.100000000000001" customHeight="1" x14ac:dyDescent="0.25"/>
    <row r="240" spans="4:10" ht="23.25" x14ac:dyDescent="0.25">
      <c r="D240" s="2" t="s">
        <v>1367</v>
      </c>
    </row>
    <row r="241" spans="4:18" x14ac:dyDescent="0.25">
      <c r="D241" s="19" t="s">
        <v>1343</v>
      </c>
      <c r="E241" s="19" t="s">
        <v>131</v>
      </c>
      <c r="F241" s="19" t="s">
        <v>1344</v>
      </c>
      <c r="G241" s="19" t="s">
        <v>1345</v>
      </c>
      <c r="H241" s="19" t="s">
        <v>1346</v>
      </c>
      <c r="I241" s="19" t="s">
        <v>1347</v>
      </c>
      <c r="J241" s="19" t="s">
        <v>795</v>
      </c>
      <c r="L241" s="19" t="s">
        <v>131</v>
      </c>
      <c r="M241" s="19" t="s">
        <v>1348</v>
      </c>
      <c r="N241" s="1" t="str">
        <f>"Table_ProductRegions_" &amp; SUBSTITUTE(SUBSTITUTE(SUBSTITUTE(SUBSTITUTE(L242, " ", ""), ",", ""), "(", ""), ")", "")</f>
        <v>Table_ProductRegions_Sardineswhole</v>
      </c>
      <c r="R241" s="1"/>
    </row>
    <row r="242" spans="4:18" x14ac:dyDescent="0.25">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1350</v>
      </c>
      <c r="L242" s="19" t="str">
        <f>Table_SourceData_Scope3_FishFeedAndBait[[#This Row],[Product]]</f>
        <v>Sardines (whole)</v>
      </c>
      <c r="M242" s="19" t="str">
        <f>Table_SourceData_Scope3_FishFeedAndBait[[#This Row],[Region of origin]]</f>
        <v>SA</v>
      </c>
      <c r="R242" s="1"/>
    </row>
    <row r="243" spans="4:18" x14ac:dyDescent="0.25">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1368</v>
      </c>
      <c r="L243" s="1" t="str">
        <f>Table_SourceData_Scope3_FishFeedAndBait[[#This Row],[Product]]</f>
        <v>Sardines (whole)</v>
      </c>
      <c r="M243" s="1" t="str">
        <f>Table_SourceData_Scope3_FishFeedAndBait[[#This Row],[Region of origin]]</f>
        <v>Australia</v>
      </c>
      <c r="R243" s="1"/>
    </row>
    <row r="244" spans="4:18" x14ac:dyDescent="0.25">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1368</v>
      </c>
      <c r="R244" s="1"/>
    </row>
    <row r="245" spans="4:18" x14ac:dyDescent="0.25">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1368</v>
      </c>
      <c r="R245" s="1"/>
    </row>
    <row r="246" spans="4:18" x14ac:dyDescent="0.25">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1368</v>
      </c>
      <c r="R246" s="1"/>
    </row>
    <row r="247" spans="4:18" x14ac:dyDescent="0.25">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1368</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BCD3A-3A3D-4316-924F-18DA0DDB7C4E}">
  <sheetPr>
    <tabColor theme="2" tint="-0.499984740745262"/>
  </sheetPr>
  <dimension ref="A1:BY297"/>
  <sheetViews>
    <sheetView showGridLines="0" workbookViewId="0" zoomScale="100" zoomScaleNormal="100">
      <pane xSplit="1" topLeftCell="B1" activePane="topRight" state="frozenSplit"/>
      <selection pane="topRight" activeCell="A64" sqref="A64"/>
    </sheetView>
  </sheetViews>
  <sheetFormatPr defaultColWidth="9.140625" defaultRowHeight="15.75" x14ac:dyDescent="0.25"/>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5">
      <c r="A2"/>
    </row>
    <row r="3" spans="1:6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5">
      <c r="A4" s="5" t="str">
        <f>HYPERLINK("#'Results - Activity period'!A1", "Results - Activity period")</f>
        <v>Results - Activity period</v>
      </c>
      <c r="BM4" s="24"/>
    </row>
    <row r="5" spans="1:65" ht="20.100000000000001" customHeight="1" x14ac:dyDescent="0.25">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5">
      <c r="A6" s="5" t="str">
        <f>HYPERLINK("#'Results'!A1", "Results")</f>
        <v>Results</v>
      </c>
      <c r="D6" s="19" t="s">
        <v>21</v>
      </c>
      <c r="E6" s="19" t="s">
        <v>22</v>
      </c>
      <c r="F6" s="19" t="s">
        <v>23</v>
      </c>
    </row>
    <row r="7" spans="1:65" ht="20.100000000000001" customHeight="1" x14ac:dyDescent="0.25">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5">
      <c r="A8"/>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5">
      <c r="A9" s="7" t="s">
        <v>0</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Enterprise'!A1", "Enterprise")</f>
        <v>Enterprise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Site'!A1", "Site")</f>
        <v>Site</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5">
      <c r="A12" s="5" t="str">
        <f>HYPERLINK("#'Input - Dairy'!A1", "Dairy")</f>
        <v>Dairy</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5">
      <c r="A13" s="5" t="str">
        <f>HYPERLINK("#'Input - Livestock sales'!A1", "Livestock sales")</f>
        <v>Livestock sales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Dairy cattle purchases'!A1", "Dairy cattle purchases")</f>
        <v>Dairy cattle purchases</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Pasture'!A1", "Pasture")</f>
        <v>Pasture</v>
      </c>
    </row>
    <row r="16" spans="1:65" ht="20.100000000000001" customHeight="1" x14ac:dyDescent="0.25">
      <c r="A16" s="5" t="str">
        <f>HYPERLINK("#'Input - Fert Prod System'!A1", "Fert Prod System")</f>
        <v>Fert Prod System</v>
      </c>
    </row>
    <row r="17" spans="1:4" ht="20.100000000000001" customHeight="1" x14ac:dyDescent="0.25">
      <c r="A17" s="5" t="str">
        <f>HYPERLINK("#'Input - Fertiliser'!A1", "Fertiliser")</f>
        <v>Fertiliser</v>
      </c>
    </row>
    <row r="18" spans="1:4" ht="20.100000000000001" customHeight="1" x14ac:dyDescent="0.25">
      <c r="A18" s="5" t="str">
        <f>HYPERLINK("#'Input - Fuel'!A1", "Fuel")</f>
        <v>Fuel</v>
      </c>
      <c r="D18" s="2" t="str" cm="1">
        <f t="array" ref="D18">Common_SourceData.Common_SourceData_WASA4Areas_Title()</f>
        <v>ABS Statistcal Areas Level 4 - Western Australia</v>
      </c>
    </row>
    <row r="19" spans="1:4" ht="20.100000000000001" customHeight="1" x14ac:dyDescent="0.25">
      <c r="A19" s="5" t="str">
        <f>HYPERLINK("#'Input - Electricity'!A1", "Electricity")</f>
        <v>Electricity</v>
      </c>
      <c r="D19" s="17" t="str" cm="1">
        <f t="array" ref="D19">Common_SourceData.Common_SourceData_WASA4Areas_Source()</f>
        <v>Australian Bureau of Statistics (ABS) - Statistical Areas Level 2 - 2021 - Shapefile</v>
      </c>
    </row>
    <row r="20" spans="1:4" ht="20.100000000000001" customHeight="1" x14ac:dyDescent="0.25">
      <c r="A20" s="5" t="str">
        <f>HYPERLINK("#'Input - Common farm inputs'!A1", "Common farm inputs")</f>
        <v>Common farm inputs</v>
      </c>
      <c r="D20" s="19" t="s">
        <v>24</v>
      </c>
    </row>
    <row r="21" spans="1:4" ht="20.100000000000001" customHeight="1" x14ac:dyDescent="0.25">
      <c r="A21" s="5" t="str">
        <f>HYPERLINK("#'Input - Crop pasture farm input'!A1", "Crop pasture farm input")</f>
        <v>Crop pasture farm input</v>
      </c>
      <c r="D21" s="19" t="str" cm="1">
        <f t="array" ref="D21">Common_InputFunctions.Utility_DisplayArrayInTable(Common_SourceData.Common_SourceData_WASA4Areas_Data(), Table_WASA4Areas[[#Headers],[SA 4 Name]], 0)</f>
        <v>Bunbury</v>
      </c>
    </row>
    <row r="22" spans="1:4" ht="20.100000000000001" customHeight="1" x14ac:dyDescent="0.25">
      <c r="A22" s="5" t="str">
        <f>HYPERLINK("#'Input - Livestock farm Inputs'!A1", "Livestock farm Inputs")</f>
        <v>Livestock farm Inputs</v>
      </c>
      <c r="D22" s="19" t="str" cm="1">
        <f t="array" ref="D22">Common_InputFunctions.Utility_DisplayArrayInTable(Common_SourceData.Common_SourceData_WASA4Areas_Data(), Table_WASA4Areas[[#Headers],[SA 4 Name]], 0)</f>
        <v>Mandurah</v>
      </c>
    </row>
    <row r="23" spans="1:4" ht="20.100000000000001" customHeight="1" x14ac:dyDescent="0.25">
      <c r="A23" s="5" t="str">
        <f>HYPERLINK("#'Input - Freight'!A1", "Freight")</f>
        <v>Freight</v>
      </c>
      <c r="D23" s="19" t="str" cm="1">
        <f t="array" ref="D23">Common_InputFunctions.Utility_DisplayArrayInTable(Common_SourceData.Common_SourceData_WASA4Areas_Data(), Table_WASA4Areas[[#Headers],[SA 4 Name]], 0)</f>
        <v>Perth - Inner</v>
      </c>
    </row>
    <row r="24" spans="1:4" ht="20.100000000000001" customHeight="1" x14ac:dyDescent="0.25">
      <c r="A24" s="5" t="str">
        <f>HYPERLINK("#'Input - Solid waste'!A1", "Solid waste")</f>
        <v>Solid waste</v>
      </c>
      <c r="D24" s="19" t="str" cm="1">
        <f t="array" ref="D24">Common_InputFunctions.Utility_DisplayArrayInTable(Common_SourceData.Common_SourceData_WASA4Areas_Data(), Table_WASA4Areas[[#Headers],[SA 4 Name]], 0)</f>
        <v>Perth - North East</v>
      </c>
    </row>
    <row r="25" spans="1:4" ht="20.100000000000001" customHeight="1" x14ac:dyDescent="0.25">
      <c r="A25" s="5" t="str">
        <f>HYPERLINK("#'Input - Manure sent off-site'!A1", "Manure sent off-site")</f>
        <v>Manure sent off-site</v>
      </c>
      <c r="D25" s="19" t="str" cm="1">
        <f t="array" ref="D25">Common_InputFunctions.Utility_DisplayArrayInTable(Common_SourceData.Common_SourceData_WASA4Areas_Data(), Table_WASA4Areas[[#Headers],[SA 4 Name]], 0)</f>
        <v>Perth - North West</v>
      </c>
    </row>
    <row r="26" spans="1:4" ht="20.100000000000001" customHeight="1" x14ac:dyDescent="0.25">
      <c r="A26" s="5" t="str">
        <f>HYPERLINK("#'Input - Data quality'!A1", "Data quality")</f>
        <v>Data quality</v>
      </c>
      <c r="D26" s="19" t="str" cm="1">
        <f t="array" ref="D26">Common_InputFunctions.Utility_DisplayArrayInTable(Common_SourceData.Common_SourceData_WASA4Areas_Data(), Table_WASA4Areas[[#Headers],[SA 4 Name]], 0)</f>
        <v>Perth - South East</v>
      </c>
    </row>
    <row r="27" spans="1:4" ht="20.100000000000001" customHeight="1" x14ac:dyDescent="0.25">
      <c r="A27"/>
      <c r="D27" s="19" t="str" cm="1">
        <f t="array" ref="D27">Common_InputFunctions.Utility_DisplayArrayInTable(Common_SourceData.Common_SourceData_WASA4Areas_Data(), Table_WASA4Areas[[#Headers],[SA 4 Name]], 0)</f>
        <v>Perth - South West</v>
      </c>
    </row>
    <row r="28" spans="1:4" ht="20.100000000000001" customHeight="1" x14ac:dyDescent="0.25">
      <c r="A28"/>
      <c r="D28" s="19" t="str" cm="1">
        <f t="array" ref="D28">Common_InputFunctions.Utility_DisplayArrayInTable(Common_SourceData.Common_SourceData_WASA4Areas_Data(), Table_WASA4Areas[[#Headers],[SA 4 Name]], 0)</f>
        <v>Western Australia - Wheat Belt</v>
      </c>
    </row>
    <row r="29" spans="1:4" ht="20.100000000000001" customHeight="1" x14ac:dyDescent="0.25">
      <c r="A29" s="6" t="s">
        <v>2</v>
      </c>
      <c r="D29" s="19"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HYPERLINK("#'3.3.1.1-2 Enteric Methane'!A1", "3.3.1.1-2 Enteric methane")</f>
        <v>3.3.1.1-2 Enteric methane</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HYPERLINK("#'4.3.1.1-2 Methane'!A1", "4.3.1.1-2 Manure methane")</f>
        <v>4.3.1.1-2 Manure methane</v>
      </c>
    </row>
    <row r="32" spans="1:4" ht="20.100000000000001" customHeight="1" x14ac:dyDescent="0.25">
      <c r="A32" s="5" t="str">
        <f>HYPERLINK("#'4.3.1.3-4 Direct N20'!A1", "4.3.1.3-4 Direct N20")</f>
        <v>4.3.1.3-4 Direct N20</v>
      </c>
    </row>
    <row r="33" spans="1:8" ht="20.100000000000001" customHeight="1" x14ac:dyDescent="0.25">
      <c r="A33" s="5" t="str">
        <f>HYPERLINK("#'4.3.1.5 Atmos deposition'!A1", "4.3.1.5 Atmos deposition")</f>
        <v>4.3.1.5 Atmos deposition</v>
      </c>
    </row>
    <row r="34" spans="1:8" ht="20.100000000000001" customHeight="1" x14ac:dyDescent="0.25">
      <c r="A34" s="5" t="str">
        <f>HYPERLINK("#'4.3.1.6-7 Leaching and runoff'!A1", "4.3.1.6-7 Leaching &amp; runoff")</f>
        <v>4.3.1.6-7 Leaching &amp; runoff</v>
      </c>
      <c r="D34" s="2" t="str" cm="1">
        <f t="array" ref="D34">Common_SourceData.Common_SourceData_GWP_Title()</f>
        <v>Global warming potential for greenhouse gases</v>
      </c>
    </row>
    <row r="35" spans="1:8" ht="20.100000000000001" customHeight="1" x14ac:dyDescent="0.25">
      <c r="A35" s="5" t="str">
        <f>HYPERLINK("#'4.3.1.8 Manure applied to soils'!A1", "4.3.1.8 Manure applied to soils")</f>
        <v>4.3.1.8 Manure applied to soils</v>
      </c>
      <c r="D35" s="17" t="str" cm="1">
        <f t="array" ref="D35">Common_SourceData.Common_SourceData_GWP_Source()</f>
        <v>XXXXXXX</v>
      </c>
    </row>
    <row r="36" spans="1:8" ht="20.100000000000001" customHeight="1" x14ac:dyDescent="0.25">
      <c r="A36" s="5" t="str">
        <f>HYPERLINK("#'4.3.1.9 Soil direct N2O'!A1", "4.3.1.9 Soil direct N2O")</f>
        <v>4.3.1.9 Soil direct N2O</v>
      </c>
      <c r="D36" s="19" t="s">
        <v>25</v>
      </c>
      <c r="E36" s="19" t="s">
        <v>26</v>
      </c>
    </row>
    <row r="37" spans="1:8" ht="20.100000000000001" customHeight="1" x14ac:dyDescent="0.25">
      <c r="A37" s="5" t="str">
        <f>HYPERLINK("#'4.3.1.10-11 Soil Atmos Dep'!A1", "4.3.1.10-11 Soil Atmos Deposition")</f>
        <v>4.3.1.10-11 Soil Atmos Deposition</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5">
      <c r="A38" s="5" t="str">
        <f>HYPERLINK("#'4.3.1.12-13 Soil leach runoff'!A1", "4.3.1.12-13 Soil leach &amp; runoff")</f>
        <v>4.3.1.12-13 Soil leach &amp; runoff</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5">
      <c r="A39" s="5" t="str">
        <f>HYPERLINK("#'5.1.1.1-2 Inorganic fert N2O'!A1", "5.1.1.1-2 Inorganic fert N2O")</f>
        <v>5.1.1.1-2 Inorganic fert N2O</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5">
      <c r="A40" s="5" t="str">
        <f>HYPERLINK("#'5.1.1.3-4 Inorganic fert CO2'!A1", "5.1.1.3-4 Inorganic fert CO2")</f>
        <v>5.1.1.3-4 Inorganic fert CO2</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5">
      <c r="A41" s="5" t="str">
        <f>HYPERLINK("#'5.2.1.1-2 Organic Fert N2O'!A1", "5.2.1.1-2 Organic fert N2O")</f>
        <v>5.2.1.1-2 Organic fert N2O</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5">
      <c r="A42" s="5" t="str">
        <f>HYPERLINK("#'5.3.1.1-2 Lime CO2'!A1", "5.3.1.1-2 Lime CO2")</f>
        <v>5.3.1.1-2 Lime CO2</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5">
      <c r="A43" s="5" t="str">
        <f>HYPERLINK("#'5.4.1.1-4 Atmos deposition'!A1", "5.4.1.1-4 Atmos. deposition")</f>
        <v>5.4.1.1-4 Atmos. deposition</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5">
      <c r="A44" s="5" t="str">
        <f>HYPERLINK("#'5.5.1.1-2 Leaching and runoff'!A1", "5.5.1.1-2 Leaching &amp; runoff")</f>
        <v>5.5.1.1-2 Leaching &amp; runoff</v>
      </c>
    </row>
    <row r="45" spans="1:8" ht="20.100000000000001" customHeight="1" x14ac:dyDescent="0.25">
      <c r="A45" s="5" t="str">
        <f>HYPERLINK("#'6.2.1.1-2 Pasture residue N2O'!A1", "6.2.1.1-2 Pasture residue N2O")</f>
        <v>6.2.1.1-2 Pasture residue N2O</v>
      </c>
      <c r="D45" s="2" t="str" cm="1">
        <f t="array" ref="D45">Common_SourceData.Common_SourceData_ConvertGasElementalToMolecular_Title()</f>
        <v>Factor to convert elemental mass of gas to molecular mass</v>
      </c>
    </row>
    <row r="46" spans="1:8" ht="20.100000000000001" customHeight="1" x14ac:dyDescent="0.25">
      <c r="A46" s="5" t="str">
        <f>HYPERLINK("#'6.3.1.1-2 Leach runoff pasture'!A1", "6.3.1.1-2 Leach &amp; runoff (pasture)")</f>
        <v>6.3.1.1-2 Leach &amp; runoff (pasture)</v>
      </c>
      <c r="D46" s="17" t="str" cm="1">
        <f t="array" ref="D46">Common_SourceData.Common_SourceData_ConvertGasElementalToMolecular_Source()</f>
        <v>XXXXXXX</v>
      </c>
    </row>
    <row r="47" spans="1:8" ht="20.100000000000001" customHeight="1" x14ac:dyDescent="0.25">
      <c r="A47" s="5" t="str">
        <f>HYPERLINK("#'8.1.1.1-2 Transport fuel'!A1", "8.1.1.1-2 Transport fuel")</f>
        <v>8.1.1.1-2 Transport fuel</v>
      </c>
      <c r="D47" s="19" t="s">
        <v>25</v>
      </c>
      <c r="E47" s="19" t="s">
        <v>27</v>
      </c>
      <c r="F47" s="19" t="s">
        <v>28</v>
      </c>
      <c r="G47" s="19" t="s">
        <v>29</v>
      </c>
      <c r="H47" s="19" t="s">
        <v>30</v>
      </c>
    </row>
    <row r="48" spans="1:8" ht="20.100000000000001" customHeight="1" x14ac:dyDescent="0.25">
      <c r="A48" s="5" t="str">
        <f>HYPERLINK("#'8.2.1.1-2 Stationary fuel'!A1", "8.2.1.1-2 Stationary fuel")</f>
        <v>8.2.1.1-2 Stationary fuel</v>
      </c>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5">
      <c r="A49" s="5" t="str">
        <f>HYPERLINK("#'10.1.1-2 Solid waste treatment'!A1", "10.1.1.1-2 Solid waste")</f>
        <v>10.1.1.1-2 Solid waste</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5">
      <c r="A50" s="5" t="str">
        <f>HYPERLINK("#'14.1.1-2 Purchased electricity'!A1", "14.1.1-2 Purchased electricity")</f>
        <v>14.1.1-2 Purchased electricity</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5">
      <c r="A51" s="5" t="str">
        <f>HYPERLINK("#'15 Scope 3'!A1", "15 Scope 3")</f>
        <v>15 Scope 3</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5">
      <c r="A52" s="5" t="str">
        <f>HYPERLINK("#'Calcs - Manure sent off-site'!A1", "Calcs - Manure sent off-site")</f>
        <v>Calcs - Manure sent off-site</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5">
      <c r="A53"/>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5">
      <c r="A54"/>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5">
      <c r="A55" s="83" t="s">
        <v>1</v>
      </c>
    </row>
    <row r="56" spans="1:8" ht="20.100000000000001" customHeight="1" x14ac:dyDescent="0.25">
      <c r="A56" s="5" t="str">
        <f>HYPERLINK("#'Constants - Dairy'!A1", "Constants - Dairy")</f>
        <v>Constants - Dairy</v>
      </c>
    </row>
    <row r="57" spans="1:8" ht="20.100000000000001" customHeight="1" x14ac:dyDescent="0.25">
      <c r="A57" s="5" t="str">
        <f>HYPERLINK("#'Constants - Ag Residue'!A1", "Constants - Ag residue")</f>
        <v>Constants - Ag residue</v>
      </c>
      <c r="D57" s="2" t="str" cm="1">
        <f t="array" ref="D57">Common_SourceData.Common_SourceData_WetAndDryZones_Title()</f>
        <v>VEERG Australian wet and dry zones</v>
      </c>
    </row>
    <row r="58" spans="1:8" ht="20.100000000000001" customHeight="1" x14ac:dyDescent="0.25">
      <c r="A58" s="5" t="str">
        <f>HYPERLINK("#'Constants - Common Livestock'!A1", "Constants - Common Livestock")</f>
        <v>Constants - Common Livestock</v>
      </c>
      <c r="D58" s="17" t="str" cm="1">
        <f t="array" ref="D58">Common_SourceData.Common_SourceData_WetAndDryZones_Source()</f>
        <v>VEERG 2026: Table 1.2: Translating climate zones to wet and dry zones</v>
      </c>
    </row>
    <row r="59" spans="1:8" ht="20.100000000000001" customHeight="1" x14ac:dyDescent="0.25">
      <c r="A59" s="5" t="str">
        <f>HYPERLINK("#'Constants - Electricity'!A1", "Constants - Electricity")</f>
        <v>Constants - Electricity</v>
      </c>
      <c r="D59" s="25" t="str" cm="1">
        <f t="array" ref="D59:D61">"⚠️" &amp; Common_SourceData.Common_SourceData_WetAndDryZones_Variation()</f>
        <v>⚠️VARIATION OF SOURCE DATA:</v>
      </c>
    </row>
    <row r="60" spans="1:8" ht="20.100000000000001" customHeight="1" x14ac:dyDescent="0.25">
      <c r="A60" s="5" t="str">
        <f>HYPERLINK("#'Constants - Fertiliser'!A1", "Constants - Fertiliser")</f>
        <v>Constants - Fertiliser</v>
      </c>
      <c r="D60" s="25" t="str">
        <v>⚠️Added warm / cool temperate moist / dry - low frost and high temp classes to accommodate climate scenarios excluded by VEERG criteria.</v>
      </c>
    </row>
    <row r="61" spans="1:8" ht="20.100000000000001" customHeight="1" x14ac:dyDescent="0.25">
      <c r="A61" s="5" t="str">
        <f>HYPERLINK("#'Constants - Fuel'!A1", "Constants - Fuel")</f>
        <v>Constants - Fuel</v>
      </c>
      <c r="D61" s="25" t="str">
        <v>⚠️Fixed typo - Changed 'Fry' to 'Dry'.</v>
      </c>
    </row>
    <row r="62" spans="1:8" ht="20.100000000000001" customHeight="1" x14ac:dyDescent="0.25">
      <c r="A62" s="5" t="str">
        <f>HYPERLINK("#'Constants - Scope 3'!A1", "Constants - Scope 3")</f>
        <v>Constants - Scope 3</v>
      </c>
    </row>
    <row r="63" spans="1:8" ht="20.100000000000001" customHeight="1" x14ac:dyDescent="0.25">
      <c r="A63" s="84" t="str">
        <f>HYPERLINK("#'Constants - Common'!A1", "Constants - Common")</f>
        <v>Constants - Common</v>
      </c>
      <c r="D63" s="19" t="s">
        <v>31</v>
      </c>
      <c r="E63" s="19" t="s">
        <v>32</v>
      </c>
    </row>
    <row r="64" spans="1:8" ht="20.100000000000001" customHeight="1" x14ac:dyDescent="0.25">
      <c r="A64" s="5" t="str">
        <f>HYPERLINK("#'Constants - Solid Waste'!A1", "Constants - Solid Waste")</f>
        <v>Constants - Solid Waste</v>
      </c>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5">
      <c r="A65" s="5" t="str">
        <f>HYPERLINK("#'Acknowledgements'!A1", "Acknowledgements")</f>
        <v>Acknowledgements</v>
      </c>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17" t="str" cm="1">
        <f t="array" ref="D82">Common_SourceData.Common_SourceData_ClimateZones_Source()</f>
        <v>VEERG 2026: Table 1.3: Climate and Rainfall zone classifications and definitions</v>
      </c>
    </row>
    <row r="83" spans="1:20" ht="20.100000000000001" customHeight="1" x14ac:dyDescent="0.25">
      <c r="A83"/>
      <c r="D83" s="25" t="str" cm="1">
        <f t="array" ref="D83:D87">"⚠️" &amp; Common_SourceData.Common_SourceData_ClimateZones_Variation()</f>
        <v>⚠️VARIATION OF SOURCE DATA:</v>
      </c>
    </row>
    <row r="84" spans="1:20" ht="20.100000000000001" customHeight="1" x14ac:dyDescent="0.25">
      <c r="A84"/>
      <c r="D84" s="25" t="str">
        <v>⚠️Added warm / cool temperate moist / dry - low frost and high temp classes to accommodate climate scenarios excluded by VEERG criteria.</v>
      </c>
    </row>
    <row r="85" spans="1:20" ht="20.100000000000001" customHeight="1" x14ac:dyDescent="0.25">
      <c r="A85"/>
      <c r="D85" s="25" t="str">
        <v>⚠️Fixed typo in MAT value for warm temperate dry - changed 10 to 11.</v>
      </c>
    </row>
    <row r="86" spans="1:20" ht="20.100000000000001" customHeight="1" x14ac:dyDescent="0.25">
      <c r="A86"/>
      <c r="D86" s="25" t="str">
        <v>⚠️Added min and max columns for MAT, MAP, frost days per year, elevation, MAP:PET to calculate zones from real climate data.</v>
      </c>
    </row>
    <row r="87" spans="1:20" ht="20.100000000000001" customHeight="1" x14ac:dyDescent="0.25">
      <c r="A87"/>
      <c r="D87" s="25" t="str">
        <v>⚠️GAF accepts rainfall as a proxy for precipitation.</v>
      </c>
    </row>
    <row r="88" spans="1:20" ht="20.100000000000001" customHeight="1" x14ac:dyDescent="0.25">
      <c r="A88"/>
    </row>
    <row r="89" spans="1:20" ht="20.100000000000001" customHeight="1" x14ac:dyDescent="0.25">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5">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5">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5">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5">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5">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5">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5">
      <c r="A96"/>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5">
      <c r="A97"/>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5">
      <c r="A98"/>
    </row>
    <row r="99" spans="1:20" ht="20.100000000000001" customHeight="1" x14ac:dyDescent="0.25">
      <c r="A99"/>
      <c r="D99" s="9" t="str" cm="1">
        <f t="array" ref="D99:D102">Common_SourceData.Common_SourceData_ClimateZones_Appendices()</f>
        <v>Note:</v>
      </c>
    </row>
    <row r="100" spans="1:20" ht="20.100000000000001" customHeight="1" x14ac:dyDescent="0.25">
      <c r="A100"/>
      <c r="D100" s="9" t="str">
        <v>MAT = mean annual temperature</v>
      </c>
    </row>
    <row r="101" spans="1:20" ht="20.100000000000001" customHeight="1" x14ac:dyDescent="0.25">
      <c r="A101"/>
      <c r="D101" s="9" t="str">
        <v>MAP = mean annual precipitation</v>
      </c>
    </row>
    <row r="102" spans="1:20" ht="20.100000000000001" customHeight="1" x14ac:dyDescent="0.25">
      <c r="A102"/>
      <c r="D102" s="9" t="str">
        <v>PET = potential evapotranspiration</v>
      </c>
    </row>
    <row r="103" spans="1:20" ht="20.100000000000001" customHeight="1" x14ac:dyDescent="0.25">
      <c r="A103"/>
      <c r="D103" s="9"/>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17" t="str" cm="1">
        <f t="array" ref="D106">Common_SourceData.Common_SourceData_TemperatureZones_Source()</f>
        <v>VEERG 2026: Table 1.3: Climate and Rainfall zone classifications and definitions</v>
      </c>
    </row>
    <row r="107" spans="1:20" ht="20.100000000000001" customHeight="1" x14ac:dyDescent="0.25">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9" t="s">
        <v>48</v>
      </c>
      <c r="E109" s="19" t="s">
        <v>33</v>
      </c>
      <c r="F109" s="19" t="s">
        <v>49</v>
      </c>
      <c r="G109" s="19" t="s">
        <v>50</v>
      </c>
    </row>
    <row r="110" spans="1:20" ht="20.100000000000001" customHeight="1" x14ac:dyDescent="0.25">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21"/>
    </row>
    <row r="116" spans="1:66" ht="20.100000000000001" customHeight="1" x14ac:dyDescent="0.25">
      <c r="A116"/>
      <c r="D116" s="17" t="str" cm="1">
        <f t="array" ref="D116">Common_SourceData.Common_SourceData_RainfallZones_Source()</f>
        <v>VEERG 2026: Table 1.3: Climate and Rainfall zone classifications and definitions</v>
      </c>
      <c r="BN116" s="21"/>
    </row>
    <row r="117" spans="1:66" ht="20.100000000000001" customHeight="1" x14ac:dyDescent="0.25">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5">
      <c r="A118"/>
      <c r="BN118" s="21"/>
    </row>
    <row r="119" spans="1:66" ht="20.100000000000001" customHeight="1" x14ac:dyDescent="0.25">
      <c r="A119"/>
      <c r="D119" s="19" t="s">
        <v>51</v>
      </c>
      <c r="E119" s="19" t="s">
        <v>52</v>
      </c>
      <c r="F119" s="19" t="s">
        <v>40</v>
      </c>
      <c r="G119" s="19" t="s">
        <v>41</v>
      </c>
      <c r="BN119" s="21"/>
    </row>
    <row r="120" spans="1:66" ht="20.100000000000001" customHeight="1" x14ac:dyDescent="0.25">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5">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5">
      <c r="A122"/>
      <c r="BN122" s="21"/>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1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9" t="s">
        <v>53</v>
      </c>
      <c r="E127" s="19" t="s">
        <v>54</v>
      </c>
    </row>
    <row r="128" spans="1:66" ht="20.100000000000001" customHeight="1" x14ac:dyDescent="0.25">
      <c r="A128"/>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17" t="str" cm="1">
        <f t="array" ref="D133">Common_SourceData.Common_SourceData_FracWET_Source()</f>
        <v>VEERG 2026:5.5.2.3 Constant Parameters</v>
      </c>
      <c r="E133" s="8"/>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21"/>
      <c r="BO138" s="21"/>
      <c r="BP138" s="21"/>
      <c r="BQ138" s="21"/>
      <c r="BR138" s="21"/>
      <c r="BS138" s="21"/>
      <c r="BT138" s="21"/>
      <c r="BU138" s="21"/>
      <c r="BV138" s="21"/>
      <c r="BW138" s="21"/>
      <c r="BX138" s="21"/>
      <c r="BY138" s="21"/>
    </row>
    <row r="139" spans="1:77" ht="20.100000000000001" customHeight="1" x14ac:dyDescent="0.25">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5">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5">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5">
      <c r="A142"/>
      <c r="D142" s="19" t="s">
        <v>57</v>
      </c>
      <c r="E142" s="19" t="s">
        <v>56</v>
      </c>
      <c r="BN142" s="21"/>
    </row>
    <row r="143" spans="1:77" ht="20.100000000000001" customHeight="1" x14ac:dyDescent="0.25">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5">
      <c r="A148"/>
      <c r="BN148" s="21"/>
    </row>
    <row r="149" spans="1:66" ht="20.100000000000001" customHeight="1" x14ac:dyDescent="0.25">
      <c r="A149"/>
      <c r="BN149" s="21"/>
    </row>
    <row r="150" spans="1:66" ht="20.100000000000001" customHeight="1" x14ac:dyDescent="0.25">
      <c r="A150"/>
      <c r="D150" s="2" t="str" cm="1">
        <f t="array" ref="D150">Common_SourceData.Common_SourceData_DataScores_Scope3_Title()</f>
        <v>Australian data scores for scope 3</v>
      </c>
      <c r="BN150" s="21"/>
    </row>
    <row r="151" spans="1:66" ht="20.100000000000001" customHeight="1" x14ac:dyDescent="0.25">
      <c r="A151"/>
      <c r="D151" s="17" t="str" cm="1">
        <f t="array" ref="D151">Common_SourceData.Common_SourceData_DataScores_Scope3_Source()</f>
        <v>VEERG 2026: XXXXXXXX</v>
      </c>
      <c r="BN151" s="21"/>
    </row>
    <row r="152" spans="1:66" ht="20.100000000000001" customHeight="1" x14ac:dyDescent="0.25">
      <c r="A152"/>
      <c r="BN152" s="21"/>
    </row>
    <row r="153" spans="1:66" ht="20.100000000000001" customHeight="1" x14ac:dyDescent="0.25">
      <c r="A153"/>
      <c r="D153" s="19" t="s">
        <v>58</v>
      </c>
      <c r="E153" s="19" t="s">
        <v>59</v>
      </c>
      <c r="BC153" s="24"/>
      <c r="BD153" s="24"/>
      <c r="BE153" s="24"/>
      <c r="BF153" s="24"/>
      <c r="BG153" s="24"/>
      <c r="BH153" s="24"/>
      <c r="BI153" s="24"/>
      <c r="BJ153" s="24"/>
      <c r="BK153" s="24"/>
      <c r="BL153" s="24"/>
      <c r="BM153" s="24"/>
    </row>
    <row r="154" spans="1:66" ht="20.100000000000001" customHeight="1" x14ac:dyDescent="0.25">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5">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5">
      <c r="A156"/>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17" t="str" cm="1">
        <f t="array" ref="D162">Common_SourceData.Common_SourceData_FracLEACH_Source()</f>
        <v>VEERG 2026:5.5.2.3 Constant Parameters</v>
      </c>
      <c r="E162" s="8"/>
    </row>
    <row r="163" spans="4:68" ht="20.100000000000001" customHeight="1" x14ac:dyDescent="0.25">
      <c r="D163" s="1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21"/>
      <c r="BO165" s="21"/>
      <c r="BP165" s="21"/>
    </row>
    <row r="166" spans="4:68" ht="20.100000000000001" customHeight="1" x14ac:dyDescent="0.25">
      <c r="BN166" s="21"/>
      <c r="BO166" s="21"/>
      <c r="BP166" s="21"/>
    </row>
    <row r="167" spans="4:68" ht="20.100000000000001" customHeight="1" x14ac:dyDescent="0.25">
      <c r="D167" s="2" t="str" cm="1">
        <f t="array" ref="D167">Common_SourceData.Common_SourceData_EFleach_Title()</f>
        <v>Emission factor for nitrogen leaching and runoff</v>
      </c>
      <c r="BN167" s="21"/>
      <c r="BO167" s="21"/>
      <c r="BP167" s="21"/>
    </row>
    <row r="168" spans="4:68" ht="20.100000000000001" customHeight="1" x14ac:dyDescent="0.25">
      <c r="D168" s="17" t="str" cm="1">
        <f t="array" ref="D168">Common_SourceData.Common_SourceData_EFleach_Source()</f>
        <v>VEERG 2026:5.5.2.3 Constant Parameters</v>
      </c>
      <c r="BN168" s="21"/>
      <c r="BO168" s="21"/>
      <c r="BP168" s="21"/>
    </row>
    <row r="169" spans="4:68" ht="20.100000000000001" customHeight="1" x14ac:dyDescent="0.25">
      <c r="D169" s="17" t="str" cm="1">
        <f t="array" ref="D169">Common_SourceData.Common_SourceData_EFleach_NIRReference()</f>
        <v>National Inventory Report Volume 1: Equation 3.D.B_10</v>
      </c>
      <c r="BN169" s="21"/>
      <c r="BO169" s="21"/>
      <c r="BP169" s="21"/>
    </row>
    <row r="170" spans="4:68" ht="20.100000000000001" customHeight="1" x14ac:dyDescent="0.25">
      <c r="D170" s="1" t="str" cm="1">
        <f t="array" ref="D170:E170">Common_SourceData.Common_SourceData_EFleach_Data()</f>
        <v>EFleach</v>
      </c>
      <c r="E170" s="1">
        <v>1.0999999999999999E-2</v>
      </c>
      <c r="BN170" s="21"/>
      <c r="BO170" s="21"/>
      <c r="BP170" s="21"/>
    </row>
    <row r="171" spans="4:68" ht="20.100000000000001" customHeight="1" x14ac:dyDescent="0.25">
      <c r="BN171" s="21"/>
      <c r="BO171" s="21"/>
      <c r="BP171" s="21"/>
    </row>
    <row r="172" spans="4:68" ht="20.100000000000001" customHeight="1" x14ac:dyDescent="0.25">
      <c r="BN172" s="21"/>
      <c r="BO172" s="21"/>
      <c r="BP172" s="21"/>
    </row>
    <row r="173" spans="4:68" ht="20.100000000000001" customHeight="1" x14ac:dyDescent="0.25">
      <c r="D173" s="2" t="str" cm="1">
        <f t="array" ref="D173">Common_SourceData.Common_SourceData_DensityOfMethane_Title()</f>
        <v>p = density of methane</v>
      </c>
      <c r="BN173" s="21"/>
      <c r="BO173" s="21"/>
      <c r="BP173" s="21"/>
    </row>
    <row r="174" spans="4:68" ht="20.100000000000001" customHeight="1" x14ac:dyDescent="0.25">
      <c r="D174" s="17" t="str" cm="1">
        <f t="array" ref="D174">Common_SourceData.Common_SourceData_DensityOfMethane_Source()</f>
        <v>National Inventory Report 2023 Volume 1: Equations 3.B.1a_2, 3.B.1c_2, 3.B.3_1, 3.B.4g_2</v>
      </c>
      <c r="BN174" s="21"/>
      <c r="BO174" s="21"/>
      <c r="BP174" s="21"/>
    </row>
    <row r="175" spans="4:68" ht="20.100000000000001" customHeight="1" x14ac:dyDescent="0.25">
      <c r="D175" s="1" cm="1">
        <f t="array" ref="D175">Common_SourceData.Common_SourceData_DensityOfMethane_Data()</f>
        <v>0.6784</v>
      </c>
      <c r="E175" s="9" t="str" cm="1">
        <f t="array" ref="E175">Common_SourceData.Common_SourceData_DensityOfMethane_Unit()</f>
        <v>kg/m3</v>
      </c>
      <c r="BN175" s="21"/>
      <c r="BO175" s="21"/>
      <c r="BP175" s="21"/>
    </row>
    <row r="176" spans="4:68" ht="20.100000000000001" customHeight="1" x14ac:dyDescent="0.25">
      <c r="BN176" s="21"/>
      <c r="BO176" s="21"/>
      <c r="BP176" s="21"/>
    </row>
    <row r="177" spans="4:68" ht="20.100000000000001" customHeight="1" x14ac:dyDescent="0.25">
      <c r="BN177" s="21"/>
      <c r="BO177" s="21"/>
      <c r="BP177" s="21"/>
    </row>
    <row r="178" spans="4:68" ht="20.100000000000001" customHeight="1" x14ac:dyDescent="0.25">
      <c r="D178" s="2" t="str" cm="1">
        <f t="array" ref="D178">Common_SourceData.Common_SourceData_EFN2O_Title()</f>
        <v>Nitrous oxide emission factors for inorganic fertiliser application</v>
      </c>
      <c r="BN178" s="21"/>
      <c r="BO178" s="21"/>
      <c r="BP178" s="21"/>
    </row>
    <row r="179" spans="4:68" ht="20.100000000000001" customHeight="1" x14ac:dyDescent="0.25">
      <c r="D179" s="17" t="str" cm="1">
        <f t="array" ref="D179">Common_SourceData.Common_SourceData_EFN2O_Source()</f>
        <v>VEERG 2026: Table A.2.2.1</v>
      </c>
      <c r="BN179" s="21"/>
      <c r="BO179" s="21"/>
      <c r="BP179" s="21"/>
    </row>
    <row r="180" spans="4:68" ht="20.100000000000001" customHeight="1" x14ac:dyDescent="0.25">
      <c r="D180" s="9" t="str" cm="1">
        <f t="array" ref="D180">Common_SourceData.Common_SourceData_EFN2O_Unit()</f>
        <v>(kg N2O-N / kg N</v>
      </c>
    </row>
    <row r="181" spans="4:68" ht="20.100000000000001" customHeight="1" x14ac:dyDescent="0.25">
      <c r="D181" s="25" t="str" cm="1">
        <f t="array" ref="D181:D185">Common_SourceData.Common_SourceData_EFN2O_Variation()</f>
        <v>VARIATION OF SOURCE DATA:</v>
      </c>
    </row>
    <row r="182" spans="4:68" ht="20.100000000000001" customHeight="1" x14ac:dyDescent="0.25">
      <c r="D182" s="25" t="str">
        <v>Removed duplicate 'Aquaculture' row.</v>
      </c>
    </row>
    <row r="183" spans="4:68" ht="20.100000000000001" customHeight="1" x14ac:dyDescent="0.25">
      <c r="D183" s="25" t="str">
        <v>Removed asterisks to aid lookup.</v>
      </c>
    </row>
    <row r="184" spans="4:68" ht="20.100000000000001" customHeight="1" x14ac:dyDescent="0.25">
      <c r="D184" s="25" t="str">
        <v>Added 'production system only', 'rainfall zone' and 'irrigation method' columns to aid lookup.</v>
      </c>
    </row>
    <row r="185" spans="4:68" ht="20.100000000000001" customHeight="1" x14ac:dyDescent="0.25">
      <c r="D185" s="25" t="str">
        <v>Duplicated 'non-irrigated pasture' row with same EF for low and high rainfall zones to aid lookup.</v>
      </c>
    </row>
    <row r="186" spans="4:68" ht="20.100000000000001" customHeight="1" x14ac:dyDescent="0.25">
      <c r="D186" s="19" t="s">
        <v>60</v>
      </c>
      <c r="E186" s="19" t="s">
        <v>61</v>
      </c>
      <c r="F186" s="19" t="s">
        <v>62</v>
      </c>
      <c r="G186" s="19" t="s">
        <v>63</v>
      </c>
      <c r="H186" s="19" t="s">
        <v>64</v>
      </c>
    </row>
    <row r="187" spans="4:68" ht="20.100000000000001" customHeight="1" x14ac:dyDescent="0.25">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4:68" ht="20.100000000000001" customHeight="1" x14ac:dyDescent="0.25">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4:68" ht="20.100000000000001" customHeight="1" x14ac:dyDescent="0.25">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4:8" ht="20.100000000000001" customHeight="1" x14ac:dyDescent="0.25">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4:8" ht="20.100000000000001" customHeight="1" x14ac:dyDescent="0.2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4:8" ht="20.100000000000001" customHeight="1" x14ac:dyDescent="0.25">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4:8" x14ac:dyDescent="0.25">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4:8" x14ac:dyDescent="0.25">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4:8" x14ac:dyDescent="0.25">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17" t="str" cm="1">
        <f t="array" ref="D203">Common_SourceData.Common_SourceData_EFPastureRangeAndPaddock_Source()</f>
        <v>VEERG 2026: Table A.2.2.2</v>
      </c>
    </row>
    <row r="204" spans="4:8" x14ac:dyDescent="0.25">
      <c r="D204" s="25" t="str" cm="1">
        <f t="array" ref="D204">Common_SourceData.Common_SourceData_EFPastureRangeAndPaddock_Variation()</f>
        <v>VARIATION FROM SOURCE DATA: Changed 'Dry climate zones' to singular 'Dry climate zone' to aid lookup.</v>
      </c>
    </row>
    <row r="205" spans="4:8" x14ac:dyDescent="0.25">
      <c r="D205" s="9" t="str" cm="1">
        <f t="array" ref="D205">Common_SourceData.Common_SourceData_EFPastureRangeAndPaddock_Unit()</f>
        <v>kg N2O - N / kg N</v>
      </c>
    </row>
    <row r="206" spans="4:8" x14ac:dyDescent="0.25">
      <c r="D206" s="19" t="s">
        <v>31</v>
      </c>
      <c r="E206" s="19" t="s">
        <v>65</v>
      </c>
    </row>
    <row r="207" spans="4:8" x14ac:dyDescent="0.25">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19" t="s">
        <v>66</v>
      </c>
      <c r="E212" s="19" t="s">
        <v>67</v>
      </c>
    </row>
    <row r="213" spans="4:5" x14ac:dyDescent="0.25">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17" t="str" cm="1">
        <f t="array" ref="D228">Common_SourceData.Common_SourceData_MCFTemperatureZone_Source()</f>
        <v>VEERG 2026: Table A.1.8.1</v>
      </c>
    </row>
    <row r="229" spans="4:19" x14ac:dyDescent="0.25">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4:19" x14ac:dyDescent="0.25">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1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9" t="str" cm="1">
        <f t="array" ref="D256">Common_SourceData.Common_SourceData_EFOrganicFertiliserAndCropResidues_Unit()</f>
        <v>kg N2O - N / kg N</v>
      </c>
    </row>
    <row r="257" spans="4:6" x14ac:dyDescent="0.25">
      <c r="D257" s="19" t="s">
        <v>84</v>
      </c>
      <c r="E257" s="19" t="s">
        <v>85</v>
      </c>
    </row>
    <row r="258" spans="4:6" x14ac:dyDescent="0.25">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2" t="s">
        <v>200</v>
      </c>
    </row>
    <row r="264" spans="4:6" x14ac:dyDescent="0.25">
      <c r="D264" s="1" t="s">
        <v>201</v>
      </c>
    </row>
    <row r="265" spans="4:6" x14ac:dyDescent="0.25">
      <c r="D265" s="19" t="s">
        <v>202</v>
      </c>
      <c r="E265" s="19" t="s">
        <v>203</v>
      </c>
      <c r="F265" s="19" t="s">
        <v>195</v>
      </c>
    </row>
    <row r="266" spans="4:6" x14ac:dyDescent="0.25">
      <c r="D266" s="19" t="s">
        <v>204</v>
      </c>
      <c r="E266" s="19" t="s">
        <v>205</v>
      </c>
      <c r="F266" s="19">
        <v>5</v>
      </c>
    </row>
    <row r="267" spans="4:6" x14ac:dyDescent="0.25">
      <c r="D267" s="19" t="s">
        <v>206</v>
      </c>
      <c r="E267" s="19" t="s">
        <v>197</v>
      </c>
      <c r="F267" s="19">
        <v>4</v>
      </c>
    </row>
    <row r="268" spans="4:6" x14ac:dyDescent="0.25">
      <c r="D268" s="19" t="s">
        <v>207</v>
      </c>
      <c r="E268" s="19" t="s">
        <v>208</v>
      </c>
      <c r="F268" s="19">
        <v>3</v>
      </c>
    </row>
    <row r="269" spans="4:6" x14ac:dyDescent="0.25">
      <c r="D269" s="19" t="s">
        <v>209</v>
      </c>
      <c r="E269" s="19" t="s">
        <v>210</v>
      </c>
      <c r="F269" s="19">
        <v>2</v>
      </c>
    </row>
    <row r="270" spans="4:6" x14ac:dyDescent="0.25">
      <c r="D270" s="19" t="s">
        <v>211</v>
      </c>
      <c r="E270" s="19" t="s">
        <v>212</v>
      </c>
      <c r="F270" s="19">
        <v>1</v>
      </c>
    </row>
    <row r="273" spans="4:6" x14ac:dyDescent="0.25">
      <c r="D273" s="1" t="s">
        <v>213</v>
      </c>
    </row>
    <row r="274" spans="4:6" x14ac:dyDescent="0.25">
      <c r="D274" s="19" t="s">
        <v>202</v>
      </c>
      <c r="E274" s="19" t="s">
        <v>203</v>
      </c>
      <c r="F274" s="19" t="s">
        <v>195</v>
      </c>
    </row>
    <row r="275" spans="4:6" x14ac:dyDescent="0.25">
      <c r="D275" s="19" t="s">
        <v>214</v>
      </c>
      <c r="E275" s="19" t="s">
        <v>198</v>
      </c>
      <c r="F275" s="19">
        <v>5</v>
      </c>
    </row>
    <row r="276" spans="4:6" x14ac:dyDescent="0.25">
      <c r="D276" s="19" t="s">
        <v>215</v>
      </c>
      <c r="E276" s="19" t="s">
        <v>216</v>
      </c>
      <c r="F276" s="19">
        <v>4</v>
      </c>
    </row>
    <row r="277" spans="4:6" x14ac:dyDescent="0.25">
      <c r="D277" s="19" t="s">
        <v>217</v>
      </c>
      <c r="E277" s="19" t="s">
        <v>218</v>
      </c>
      <c r="F277" s="19">
        <v>3</v>
      </c>
    </row>
    <row r="278" spans="4:6" x14ac:dyDescent="0.25">
      <c r="D278" s="19" t="s">
        <v>219</v>
      </c>
      <c r="E278" s="19" t="s">
        <v>220</v>
      </c>
      <c r="F278" s="19">
        <v>2</v>
      </c>
    </row>
    <row r="279" spans="4:6" x14ac:dyDescent="0.25">
      <c r="D279" s="19" t="s">
        <v>221</v>
      </c>
      <c r="E279" s="19" t="s">
        <v>222</v>
      </c>
      <c r="F279" s="19">
        <v>1</v>
      </c>
    </row>
    <row r="282" spans="4:6" x14ac:dyDescent="0.25">
      <c r="D282" s="1" t="s">
        <v>223</v>
      </c>
    </row>
    <row r="283" spans="4:6" x14ac:dyDescent="0.25">
      <c r="D283" s="19" t="s">
        <v>202</v>
      </c>
      <c r="E283" s="19" t="s">
        <v>203</v>
      </c>
      <c r="F283" s="19" t="s">
        <v>195</v>
      </c>
    </row>
    <row r="284" spans="4:6" x14ac:dyDescent="0.25">
      <c r="D284" s="19" t="s">
        <v>224</v>
      </c>
      <c r="E284" s="19" t="s">
        <v>225</v>
      </c>
      <c r="F284" s="19">
        <v>5</v>
      </c>
    </row>
    <row r="285" spans="4:6" x14ac:dyDescent="0.25">
      <c r="D285" s="19" t="s">
        <v>226</v>
      </c>
      <c r="E285" s="19" t="s">
        <v>227</v>
      </c>
      <c r="F285" s="19">
        <v>4</v>
      </c>
    </row>
    <row r="286" spans="4:6" x14ac:dyDescent="0.25">
      <c r="D286" s="19" t="s">
        <v>228</v>
      </c>
      <c r="E286" s="19" t="s">
        <v>199</v>
      </c>
      <c r="F286" s="19">
        <v>3</v>
      </c>
    </row>
    <row r="287" spans="4:6" x14ac:dyDescent="0.25">
      <c r="D287" s="19" t="s">
        <v>229</v>
      </c>
      <c r="E287" s="19" t="s">
        <v>230</v>
      </c>
      <c r="F287" s="19">
        <v>2</v>
      </c>
    </row>
    <row r="288" spans="4:6" x14ac:dyDescent="0.25">
      <c r="D288" s="19" t="s">
        <v>231</v>
      </c>
      <c r="E288" s="19" t="s">
        <v>232</v>
      </c>
      <c r="F288" s="19">
        <v>1</v>
      </c>
    </row>
    <row r="291" spans="4:6" x14ac:dyDescent="0.25">
      <c r="D291" s="1" t="s">
        <v>233</v>
      </c>
    </row>
    <row r="292" spans="4:6" x14ac:dyDescent="0.25">
      <c r="D292" s="19" t="s">
        <v>202</v>
      </c>
      <c r="E292" s="19" t="s">
        <v>203</v>
      </c>
      <c r="F292" s="19" t="s">
        <v>195</v>
      </c>
    </row>
    <row r="293" spans="4:6" x14ac:dyDescent="0.25">
      <c r="D293" s="19" t="s">
        <v>234</v>
      </c>
      <c r="E293" s="19" t="s">
        <v>235</v>
      </c>
      <c r="F293" s="19">
        <v>5</v>
      </c>
    </row>
    <row r="294" spans="4:6" x14ac:dyDescent="0.25">
      <c r="D294" s="19" t="s">
        <v>236</v>
      </c>
      <c r="E294" s="19" t="s">
        <v>237</v>
      </c>
      <c r="F294" s="19">
        <v>4</v>
      </c>
    </row>
    <row r="295" spans="4:6" x14ac:dyDescent="0.25">
      <c r="D295" s="19" t="s">
        <v>238</v>
      </c>
      <c r="E295" s="19" t="s">
        <v>239</v>
      </c>
      <c r="F295" s="19">
        <v>3</v>
      </c>
    </row>
    <row r="296" spans="4:6" x14ac:dyDescent="0.25">
      <c r="D296" s="19" t="s">
        <v>240</v>
      </c>
      <c r="E296" s="19" t="s">
        <v>241</v>
      </c>
      <c r="F296" s="19">
        <v>2</v>
      </c>
    </row>
    <row r="297" spans="4:6" x14ac:dyDescent="0.25">
      <c r="D297" s="19" t="s">
        <v>242</v>
      </c>
      <c r="E297" s="19" t="s">
        <v>243</v>
      </c>
      <c r="F297" s="19">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F1E52-1847-4697-A603-43AA2F26EBA9}">
  <dimension ref="A1:A65"/>
  <sheetViews>
    <sheetView workbookViewId="0" zoomScale="100" zoomScaleNormal="100">
      <pane xSplit="1" topLeftCell="B1" activePane="topRight" state="frozenSplit"/>
      <selection pane="topRight" activeCell="A64" sqref="A64"/>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275"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Data quality'!A1", "Data quality")</f>
        <v>Data quality</v>
      </c>
    </row>
    <row r="29" spans="1:1" x14ac:dyDescent="0.25">
      <c r="A29" s="6" t="s">
        <v>2</v>
      </c>
    </row>
    <row r="30" spans="1:1" ht="15.75" x14ac:dyDescent="0.25">
      <c r="A30" s="5" t="str">
        <f>HYPERLINK("#'3.3.1.1-2 Enteric Methane'!A1", "3.3.1.1-2 Enteric methane")</f>
        <v>3.3.1.1-2 Enteric methane</v>
      </c>
    </row>
    <row r="31" spans="1:1" ht="15.75" x14ac:dyDescent="0.25">
      <c r="A31" s="5" t="str">
        <f>HYPERLINK("#'4.3.1.1-2 Methane'!A1", "4.3.1.1-2 Manure methane")</f>
        <v>4.3.1.1-2 Manure methane</v>
      </c>
    </row>
    <row r="32" spans="1:1" ht="15.75" x14ac:dyDescent="0.25">
      <c r="A32" s="5" t="str">
        <f>HYPERLINK("#'4.3.1.3-4 Direct N20'!A1", "4.3.1.3-4 Direct N20")</f>
        <v>4.3.1.3-4 Direct N20</v>
      </c>
    </row>
    <row r="33" spans="1:1" ht="15.75" x14ac:dyDescent="0.25">
      <c r="A33" s="5" t="str">
        <f>HYPERLINK("#'4.3.1.5 Atmos deposition'!A1", "4.3.1.5 Atmos deposition")</f>
        <v>4.3.1.5 Atmos deposition</v>
      </c>
    </row>
    <row r="34" spans="1:1" ht="15.75" x14ac:dyDescent="0.25">
      <c r="A34" s="5" t="str">
        <f>HYPERLINK("#'4.3.1.6-7 Leaching and runoff'!A1", "4.3.1.6-7 Leaching &amp; runoff")</f>
        <v>4.3.1.6-7 Leaching &amp; runoff</v>
      </c>
    </row>
    <row r="35" spans="1:1" ht="15.75" x14ac:dyDescent="0.25">
      <c r="A35" s="5" t="str">
        <f>HYPERLINK("#'4.3.1.8 Manure applied to soils'!A1", "4.3.1.8 Manure applied to soils")</f>
        <v>4.3.1.8 Manure applied to soils</v>
      </c>
    </row>
    <row r="36" spans="1:1" ht="15.75" x14ac:dyDescent="0.25">
      <c r="A36" s="5" t="str">
        <f>HYPERLINK("#'4.3.1.9 Soil direct N2O'!A1", "4.3.1.9 Soil direct N2O")</f>
        <v>4.3.1.9 Soil direct N2O</v>
      </c>
    </row>
    <row r="37" spans="1:1" ht="15.75" x14ac:dyDescent="0.25">
      <c r="A37" s="5" t="str">
        <f>HYPERLINK("#'4.3.1.10-11 Soil Atmos Dep'!A1", "4.3.1.10-11 Soil Atmos Deposition")</f>
        <v>4.3.1.10-11 Soil Atmos Deposition</v>
      </c>
    </row>
    <row r="38" spans="1:1" ht="15.75" x14ac:dyDescent="0.25">
      <c r="A38" s="5" t="str">
        <f>HYPERLINK("#'4.3.1.12-13 Soil leach runoff'!A1", "4.3.1.12-13 Soil leach &amp; runoff")</f>
        <v>4.3.1.12-13 Soil leach &amp; runoff</v>
      </c>
    </row>
    <row r="39" spans="1:1" ht="15.75" x14ac:dyDescent="0.25">
      <c r="A39" s="5" t="str">
        <f>HYPERLINK("#'5.1.1.1-2 Inorganic fert N2O'!A1", "5.1.1.1-2 Inorganic fert N2O")</f>
        <v>5.1.1.1-2 Inorganic fert N2O</v>
      </c>
    </row>
    <row r="40" spans="1:1" ht="15.75" x14ac:dyDescent="0.25">
      <c r="A40" s="5" t="str">
        <f>HYPERLINK("#'5.1.1.3-4 Inorganic fert CO2'!A1", "5.1.1.3-4 Inorganic fert CO2")</f>
        <v>5.1.1.3-4 Inorganic fert CO2</v>
      </c>
    </row>
    <row r="41" spans="1:1" ht="15.75" x14ac:dyDescent="0.25">
      <c r="A41" s="5" t="str">
        <f>HYPERLINK("#'5.2.1.1-2 Organic Fert N2O'!A1", "5.2.1.1-2 Organic fert N2O")</f>
        <v>5.2.1.1-2 Organic fert N2O</v>
      </c>
    </row>
    <row r="42" spans="1:1" ht="15.75" x14ac:dyDescent="0.25">
      <c r="A42" s="5" t="str">
        <f>HYPERLINK("#'5.3.1.1-2 Lime CO2'!A1", "5.3.1.1-2 Lime CO2")</f>
        <v>5.3.1.1-2 Lime CO2</v>
      </c>
    </row>
    <row r="43" spans="1:1" ht="15.75" x14ac:dyDescent="0.25">
      <c r="A43" s="5" t="str">
        <f>HYPERLINK("#'5.4.1.1-4 Atmos deposition'!A1", "5.4.1.1-4 Atmos. deposition")</f>
        <v>5.4.1.1-4 Atmos. deposition</v>
      </c>
    </row>
    <row r="44" spans="1:1" ht="15.75" x14ac:dyDescent="0.25">
      <c r="A44" s="5" t="str">
        <f>HYPERLINK("#'5.5.1.1-2 Leaching and runoff'!A1", "5.5.1.1-2 Leaching &amp; runoff")</f>
        <v>5.5.1.1-2 Leaching &amp; runoff</v>
      </c>
    </row>
    <row r="45" spans="1:1" ht="15.75" x14ac:dyDescent="0.25">
      <c r="A45" s="5" t="str">
        <f>HYPERLINK("#'6.2.1.1-2 Pasture residue N2O'!A1", "6.2.1.1-2 Pasture residue N2O")</f>
        <v>6.2.1.1-2 Pasture residue N2O</v>
      </c>
    </row>
    <row r="46" spans="1:1" ht="15.75" x14ac:dyDescent="0.25">
      <c r="A46" s="5" t="str">
        <f>HYPERLINK("#'6.3.1.1-2 Leach runoff pasture'!A1", "6.3.1.1-2 Leach &amp; runoff (pasture)")</f>
        <v>6.3.1.1-2 Leach &amp; runoff (pasture)</v>
      </c>
    </row>
    <row r="47" spans="1:1" ht="15.75" x14ac:dyDescent="0.25">
      <c r="A47" s="5" t="str">
        <f>HYPERLINK("#'8.1.1.1-2 Transport fuel'!A1", "8.1.1.1-2 Transport fuel")</f>
        <v>8.1.1.1-2 Transport fuel</v>
      </c>
    </row>
    <row r="48" spans="1:1" ht="15.75" x14ac:dyDescent="0.25">
      <c r="A48" s="5" t="str">
        <f>HYPERLINK("#'8.2.1.1-2 Stationary fuel'!A1", "8.2.1.1-2 Stationary fuel")</f>
        <v>8.2.1.1-2 Stationary fuel</v>
      </c>
    </row>
    <row r="49" spans="1:1" ht="15.75" x14ac:dyDescent="0.25">
      <c r="A49" s="5" t="str">
        <f>HYPERLINK("#'10.1.1-2 Solid waste treatment'!A1", "10.1.1.1-2 Solid waste")</f>
        <v>10.1.1.1-2 Solid waste</v>
      </c>
    </row>
    <row r="50" spans="1:1" ht="15.75" x14ac:dyDescent="0.25">
      <c r="A50" s="5" t="str">
        <f>HYPERLINK("#'14.1.1-2 Purchased electricity'!A1", "14.1.1-2 Purchased electricity")</f>
        <v>14.1.1-2 Purchased electricity</v>
      </c>
    </row>
    <row r="51" spans="1:1" ht="15.75" x14ac:dyDescent="0.25">
      <c r="A51" s="5" t="str">
        <f>HYPERLINK("#'15 Scope 3'!A1", "15 Scope 3")</f>
        <v>15 Scope 3</v>
      </c>
    </row>
    <row r="52" spans="1:1" ht="15.75" x14ac:dyDescent="0.25">
      <c r="A52" s="5" t="str">
        <f>HYPERLINK("#'Calcs - Manure sent off-site'!A1", "Calcs - Manure sent off-site")</f>
        <v>Calcs - Manure sent off-site</v>
      </c>
    </row>
    <row r="55" spans="1:1" x14ac:dyDescent="0.25">
      <c r="A55" s="83" t="s">
        <v>1</v>
      </c>
    </row>
    <row r="56" spans="1:1" ht="15.75" x14ac:dyDescent="0.25">
      <c r="A56" s="5" t="str">
        <f>HYPERLINK("#'Constants - Dairy'!A1", "Constants - Dairy")</f>
        <v>Constants - Dairy</v>
      </c>
    </row>
    <row r="57" spans="1:1" ht="15.75" x14ac:dyDescent="0.25">
      <c r="A57" s="5" t="str">
        <f>HYPERLINK("#'Constants - Ag Residue'!A1", "Constants - Ag residue")</f>
        <v>Constants - Ag residue</v>
      </c>
    </row>
    <row r="58" spans="1:1" ht="15.75" x14ac:dyDescent="0.25">
      <c r="A58" s="5" t="str">
        <f>HYPERLINK("#'Constants - Common Livestock'!A1", "Constants - Common Livestock")</f>
        <v>Constants - Common Livestock</v>
      </c>
    </row>
    <row r="59" spans="1:1" ht="15.75" x14ac:dyDescent="0.25">
      <c r="A59" s="5" t="str">
        <f>HYPERLINK("#'Constants - Electricity'!A1", "Constants - Electricity")</f>
        <v>Constants - Electricity</v>
      </c>
    </row>
    <row r="60" spans="1:1" ht="15.75" x14ac:dyDescent="0.25">
      <c r="A60" s="5" t="str">
        <f>HYPERLINK("#'Constants - Fertiliser'!A1", "Constants - Fertiliser")</f>
        <v>Constants - Fertiliser</v>
      </c>
    </row>
    <row r="61" spans="1:1" ht="15.75" x14ac:dyDescent="0.25">
      <c r="A61" s="5" t="str">
        <f>HYPERLINK("#'Constants - Fuel'!A1", "Constants - Fuel")</f>
        <v>Constants - Fuel</v>
      </c>
    </row>
    <row r="62" spans="1:1" ht="15.75" x14ac:dyDescent="0.25">
      <c r="A62" s="5" t="str">
        <f>HYPERLINK("#'Constants - Scope 3'!A1", "Constants - Scope 3")</f>
        <v>Constants - Scope 3</v>
      </c>
    </row>
    <row r="63" spans="1:1" ht="15.75" x14ac:dyDescent="0.25">
      <c r="A63" s="5" t="str">
        <f>HYPERLINK("#'Constants - Common'!A1", "Constants - Common")</f>
        <v>Constants - Common</v>
      </c>
    </row>
    <row r="64" spans="1:1" ht="15.75" x14ac:dyDescent="0.25">
      <c r="A64" s="5" t="str">
        <f>HYPERLINK("#'Constants - Solid Waste'!A1", "Constants - Solid Waste")</f>
        <v>Constants - Solid Waste</v>
      </c>
    </row>
    <row r="65" spans="1:1" ht="15.75" x14ac:dyDescent="0.25">
      <c r="A65" s="5" t="str">
        <f>HYPERLINK("#'Acknowledgements'!A1", "Acknowledgements")</f>
        <v>Acknowledgements</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BF9EE-D039-4D9F-B6CB-A1ECA989C588}">
  <sheetPr>
    <tabColor theme="2" tint="-0.499984740745262"/>
  </sheetPr>
  <dimension ref="A1:AI165"/>
  <sheetViews>
    <sheetView showGridLines="0" workbookViewId="0" zoomScale="100" zoomScaleNormal="100">
      <pane xSplit="1" topLeftCell="B1" activePane="topRight" state="frozenSplit"/>
      <selection pane="topRight" activeCell="A64" sqref="A64"/>
    </sheetView>
  </sheetViews>
  <sheetFormatPr defaultRowHeight="15.75" x14ac:dyDescent="0.25"/>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1021</v>
      </c>
      <c r="AG1"/>
      <c r="AH1"/>
      <c r="AI1"/>
    </row>
    <row r="2" spans="1:35" s="3" customFormat="1" ht="20.100000000000001" customHeight="1" x14ac:dyDescent="0.25">
      <c r="A2"/>
      <c r="AG2"/>
      <c r="AH2"/>
      <c r="AI2"/>
    </row>
    <row r="3" spans="1:35" ht="20.100000000000001" customHeight="1" x14ac:dyDescent="0.25">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5">
      <c r="A4" s="5" t="str">
        <f>HYPERLINK("#'Results - Activity period'!A1", "Results - Activity period")</f>
        <v>Results - Activity period</v>
      </c>
    </row>
    <row r="5" spans="1:35" ht="20.100000000000001" customHeight="1" x14ac:dyDescent="0.25">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5">
      <c r="A6" s="5" t="str">
        <f>HYPERLINK("#'Results'!A1", "Results")</f>
        <v>Results</v>
      </c>
      <c r="D6" s="17" t="str" cm="1">
        <f t="array" ref="D6">WasteSolid_SourceData.Waste_EmissionFactorsForWasteTreatment_Source()</f>
        <v>VEERG 2026: Table A.4.1.1</v>
      </c>
    </row>
    <row r="7" spans="1:35" ht="20.100000000000001" customHeight="1" x14ac:dyDescent="0.25">
      <c r="D7" s="25" t="str" cm="1">
        <f t="array" ref="D7:D13">WasteSolid_SourceData.Waste_EmissionFactorsForWasteTreatment_Variation()</f>
        <v>VARIATION ON SOURCE:</v>
      </c>
    </row>
    <row r="8" spans="1:35" ht="20.100000000000001" customHeight="1" x14ac:dyDescent="0.25">
      <c r="D8" s="25" t="str">
        <v>Fixed typo 'paper and carboard' to 'paper and cardboard'</v>
      </c>
    </row>
    <row r="9" spans="1:35" ht="20.100000000000001" customHeight="1" x14ac:dyDescent="0.25">
      <c r="A9" s="7" t="s">
        <v>0</v>
      </c>
      <c r="D9" s="25" t="str">
        <v>Fixed typo 'prunnings' to 'prunings'</v>
      </c>
    </row>
    <row r="10" spans="1:35" ht="20.100000000000001" customHeight="1" x14ac:dyDescent="0.25">
      <c r="A10" s="5" t="str">
        <f>HYPERLINK("#'Input - Enterprise'!A1", "Enterprise")</f>
        <v>Enterprise</v>
      </c>
      <c r="D10" s="25" t="str">
        <v>Added EF source column with specific references</v>
      </c>
    </row>
    <row r="11" spans="1:35" ht="20.100000000000001" customHeight="1" x14ac:dyDescent="0.25">
      <c r="A11" s="5" t="str">
        <f>HYPERLINK("#'Input - Site'!A1", "Site")</f>
        <v>Site</v>
      </c>
      <c r="D11" s="25" t="str">
        <v>Added sub-categories for 'Incineration: Food waste, green waste, wood, sludge' in order to use volume to mass conversion factor values</v>
      </c>
    </row>
    <row r="12" spans="1:35" ht="20.100000000000001" customHeight="1" x14ac:dyDescent="0.25">
      <c r="A12" s="5" t="str">
        <f>HYPERLINK("#'Input - Dairy'!A1", "Dairy")</f>
        <v>Dairy</v>
      </c>
      <c r="D12" s="25" t="str">
        <v>Added sub-categories for 'Composting: All organic waste' in order to use volume to mass conversion factor values</v>
      </c>
    </row>
    <row r="13" spans="1:35" ht="20.100000000000001" customHeight="1" x14ac:dyDescent="0.25">
      <c r="A13" s="5" t="str">
        <f>HYPERLINK("#'Input - Livestock sales'!A1", "Livestock sales")</f>
        <v>Livestock sales</v>
      </c>
      <c r="D13" s="25" t="str">
        <v>Added sub-categories for 'Anaerobic digestion: All organic waste' in order to use volume to mass conversion factor values</v>
      </c>
    </row>
    <row r="14" spans="1:35" ht="20.100000000000001" customHeight="1" x14ac:dyDescent="0.25">
      <c r="A14" s="5" t="str">
        <f>HYPERLINK("#'Input - Dairy cattle purchases'!A1", "Dairy cattle purchases")</f>
        <v>Dairy cattle purchases</v>
      </c>
      <c r="D14" s="1" t="str" cm="1">
        <f t="array" ref="D14">WasteSolid_SourceData.Waste_EmissionFactorsForWasteTreatment_Variable()</f>
        <v>EFwt</v>
      </c>
    </row>
    <row r="15" spans="1:35" ht="20.100000000000001" customHeight="1" x14ac:dyDescent="0.25">
      <c r="A15" s="5" t="str">
        <f>HYPERLINK("#'Input - Pasture'!A1", "Pasture")</f>
        <v>Pasture</v>
      </c>
      <c r="D15" s="9" t="str" cm="1">
        <f t="array" ref="D15">WasteSolid_SourceData.Waste_EmissionFactorsForWasteTreatment_Unit()</f>
        <v>t CO2e / t</v>
      </c>
      <c r="I15" s="1" t="s">
        <v>1022</v>
      </c>
      <c r="K15" s="1" t="s">
        <v>1023</v>
      </c>
      <c r="M15" s="1" t="s">
        <v>1024</v>
      </c>
      <c r="O15" s="1" t="s">
        <v>1025</v>
      </c>
    </row>
    <row r="16" spans="1:35" ht="20.100000000000001" customHeight="1" x14ac:dyDescent="0.25">
      <c r="A16" s="5" t="str">
        <f>HYPERLINK("#'Input - Fert Prod System'!A1", "Fert Prod System")</f>
        <v>Fert Prod System</v>
      </c>
      <c r="D16" s="19" t="s">
        <v>1026</v>
      </c>
      <c r="E16" s="19" t="s">
        <v>1027</v>
      </c>
      <c r="F16" s="19" t="s">
        <v>1028</v>
      </c>
      <c r="G16" s="19" t="s">
        <v>1029</v>
      </c>
      <c r="I16" s="19" t="s">
        <v>1027</v>
      </c>
      <c r="K16" s="142" t="s">
        <v>1027</v>
      </c>
      <c r="M16" s="142" t="s">
        <v>1027</v>
      </c>
      <c r="O16" s="142" t="s">
        <v>1027</v>
      </c>
    </row>
    <row r="17" spans="1:15" ht="20.100000000000001" customHeight="1" x14ac:dyDescent="0.25">
      <c r="A17" s="5" t="str">
        <f>HYPERLINK("#'Input - Fertiliser'!A1", "Fertiliser")</f>
        <v>Fertiliser</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Fuel'!A1", "Fuel")</f>
        <v>Fuel</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Electricity'!A1", "Electricity")</f>
        <v>Electricity</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Common farm inputs'!A1", "Common farm inputs")</f>
        <v>Common farm inputs</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5">
      <c r="A21" s="5" t="str">
        <f>HYPERLINK("#'Input - Crop pasture farm input'!A1", "Crop pasture farm input")</f>
        <v>Crop pasture farm input</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A22" s="5" t="str">
        <f>HYPERLINK("#'Input - Livestock farm Inputs'!A1", "Livestock farm Inputs")</f>
        <v>Livestock farm Inputs</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5">
      <c r="A23" s="5" t="str">
        <f>HYPERLINK("#'Input - Freight'!A1", "Freight")</f>
        <v>Freight</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5">
      <c r="A24" s="5" t="str">
        <f>HYPERLINK("#'Input - Solid waste'!A1", "Solid waste")</f>
        <v>Solid waste</v>
      </c>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HYPERLINK("#'Input - Manure sent off-site'!A1", "Manure sent off-site")</f>
        <v>Manure sent off-site</v>
      </c>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5">
      <c r="A26" s="5" t="str">
        <f>HYPERLINK("#'Input - Data quality'!A1", "Data quality")</f>
        <v>Data quality</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5">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5">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6" t="s">
        <v>2</v>
      </c>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HYPERLINK("#'3.3.1.1-2 Enteric Methane'!A1", "3.3.1.1-2 Enteric methane")</f>
        <v>3.3.1.1-2 Enteric methane</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HYPERLINK("#'4.3.1.1-2 Methane'!A1", "4.3.1.1-2 Manure methane")</f>
        <v>4.3.1.1-2 Manure methane</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HYPERLINK("#'4.3.1.3-4 Direct N20'!A1", "4.3.1.3-4 Direct N20")</f>
        <v>4.3.1.3-4 Direct N20</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HYPERLINK("#'4.3.1.5 Atmos deposition'!A1", "4.3.1.5 Atmos deposition")</f>
        <v>4.3.1.5 Atmos deposition</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HYPERLINK("#'4.3.1.6-7 Leaching and runoff'!A1", "4.3.1.6-7 Leaching &amp; runoff")</f>
        <v>4.3.1.6-7 Leaching &amp; runoff</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HYPERLINK("#'4.3.1.8 Manure applied to soils'!A1", "4.3.1.8 Manure applied to soils")</f>
        <v>4.3.1.8 Manure applied to soils</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HYPERLINK("#'4.3.1.9 Soil direct N2O'!A1", "4.3.1.9 Soil direct N2O")</f>
        <v>4.3.1.9 Soil direct N2O</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HYPERLINK("#'4.3.1.10-11 Soil Atmos Dep'!A1", "4.3.1.10-11 Soil Atmos Deposition")</f>
        <v>4.3.1.10-11 Soil Atmos Deposition</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46"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HYPERLINK("#'4.3.1.12-13 Soil leach runoff'!A1", "4.3.1.12-13 Soil leach &amp; runoff")</f>
        <v>4.3.1.12-13 Soil leach &amp; runoff</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46"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5" t="str">
        <f>HYPERLINK("#'5.1.1.1-2 Inorganic fert N2O'!A1", "5.1.1.1-2 Inorganic fert N2O")</f>
        <v>5.1.1.1-2 Inorganic fert N2O</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46"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5" t="str">
        <f>HYPERLINK("#'5.1.1.3-4 Inorganic fert CO2'!A1", "5.1.1.3-4 Inorganic fert CO2")</f>
        <v>5.1.1.3-4 Inorganic fert CO2</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46"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5" t="str">
        <f>HYPERLINK("#'5.2.1.1-2 Organic Fert N2O'!A1", "5.2.1.1-2 Organic fert N2O")</f>
        <v>5.2.1.1-2 Organic fert N2O</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46"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HYPERLINK("#'5.3.1.1-2 Lime CO2'!A1", "5.3.1.1-2 Lime CO2")</f>
        <v>5.3.1.1-2 Lime CO2</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46"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HYPERLINK("#'5.4.1.1-4 Atmos deposition'!A1", "5.4.1.1-4 Atmos. deposition")</f>
        <v>5.4.1.1-4 Atmos. deposition</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46"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HYPERLINK("#'5.5.1.1-2 Leaching and runoff'!A1", "5.5.1.1-2 Leaching &amp; runoff")</f>
        <v>5.5.1.1-2 Leaching &amp; runoff</v>
      </c>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46"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HYPERLINK("#'6.2.1.1-2 Pasture residue N2O'!A1", "6.2.1.1-2 Pasture residue N2O")</f>
        <v>6.2.1.1-2 Pasture residue N2O</v>
      </c>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46"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HYPERLINK("#'6.3.1.1-2 Leach runoff pasture'!A1", "6.3.1.1-2 Leach &amp; runoff (pasture)")</f>
        <v>6.3.1.1-2 Leach &amp; runoff (pasture)</v>
      </c>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46"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HYPERLINK("#'8.1.1.1-2 Transport fuel'!A1", "8.1.1.1-2 Transport fuel")</f>
        <v>8.1.1.1-2 Transport fuel</v>
      </c>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46"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5" t="str">
        <f>HYPERLINK("#'8.2.1.1-2 Stationary fuel'!A1", "8.2.1.1-2 Stationary fuel")</f>
        <v>8.2.1.1-2 Stationary fuel</v>
      </c>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46"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 t="str">
        <f>HYPERLINK("#'10.1.1-2 Solid waste treatment'!A1", "10.1.1.1-2 Solid waste")</f>
        <v>10.1.1.1-2 Solid waste</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46"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s="5" t="str">
        <f>HYPERLINK("#'14.1.1-2 Purchased electricity'!A1", "14.1.1-2 Purchased electricity")</f>
        <v>14.1.1-2 Purchased electricity</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46"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s="5" t="str">
        <f>HYPERLINK("#'15 Scope 3'!A1", "15 Scope 3")</f>
        <v>15 Scope 3</v>
      </c>
    </row>
    <row r="52" spans="1:7" ht="20.100000000000001" customHeight="1" x14ac:dyDescent="0.25">
      <c r="A52" s="5" t="str">
        <f>HYPERLINK("#'Calcs - Manure sent off-site'!A1", "Calcs - Manure sent off-site")</f>
        <v>Calcs - Manure sent off-site</v>
      </c>
      <c r="D52" s="2" t="str" cm="1">
        <f t="array" ref="D52">WasteSolid_SourceData.Waste_WasteVolumeToMassConversion_Title()</f>
        <v>Volume to mass conversion factor for various waste types</v>
      </c>
    </row>
    <row r="53" spans="1:7" ht="20.100000000000001" customHeight="1" x14ac:dyDescent="0.25">
      <c r="D53" s="17" t="str" cm="1">
        <f t="array" ref="D53">WasteSolid_SourceData.Waste_WasteVolumeToMassConversion_Source()</f>
        <v>VEERG 2026: Table A.4.1.2</v>
      </c>
    </row>
    <row r="54" spans="1:7" ht="20.100000000000001" customHeight="1" x14ac:dyDescent="0.25">
      <c r="D54" s="25" t="str" cm="1">
        <f t="array" ref="D54">WasteSolid_SourceData.Waste_WasteVolumeToMassConversion_Variation()</f>
        <v>VARIATION OF SOURCE: Changed column header CFw to VTMw to match title variable.</v>
      </c>
    </row>
    <row r="55" spans="1:7" ht="20.100000000000001" customHeight="1" x14ac:dyDescent="0.25">
      <c r="A55" s="83" t="s">
        <v>1</v>
      </c>
      <c r="D55" s="1" t="str" cm="1">
        <f t="array" ref="D55">WasteSolid_SourceData.Waste_WasteVolumeToMassConversion_Variable()</f>
        <v>VTMw</v>
      </c>
    </row>
    <row r="56" spans="1:7" ht="20.100000000000001" customHeight="1" x14ac:dyDescent="0.25">
      <c r="A56" s="5" t="str">
        <f>HYPERLINK("#'Constants - Dairy'!A1", "Constants - Dairy")</f>
        <v>Constants - Dairy</v>
      </c>
      <c r="D56" s="9" t="str" cm="1">
        <f t="array" ref="D56">WasteSolid_SourceData.Waste_WasteVolumeToMassConversion_Unit()</f>
        <v>t/m3</v>
      </c>
    </row>
    <row r="57" spans="1:7" ht="20.100000000000001" customHeight="1" x14ac:dyDescent="0.25">
      <c r="A57" s="5" t="str">
        <f>HYPERLINK("#'Constants - Ag Residue'!A1", "Constants - Ag residue")</f>
        <v>Constants - Ag residue</v>
      </c>
      <c r="D57" s="19" t="s">
        <v>1027</v>
      </c>
      <c r="E57" s="19" t="s">
        <v>1030</v>
      </c>
    </row>
    <row r="58" spans="1:7" ht="20.100000000000001" customHeight="1" x14ac:dyDescent="0.25">
      <c r="A58" s="5" t="str">
        <f>HYPERLINK("#'Constants - Common Livestock'!A1", "Constants - Common Livestock")</f>
        <v>Constants - Common Livestock</v>
      </c>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s="5" t="str">
        <f>HYPERLINK("#'Constants - Electricity'!A1", "Constants - Electricity")</f>
        <v>Constants - Electricity</v>
      </c>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s="5" t="str">
        <f>HYPERLINK("#'Constants - Fertiliser'!A1", "Constants - Fertiliser")</f>
        <v>Constants - Fertiliser</v>
      </c>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s="5" t="str">
        <f>HYPERLINK("#'Constants - Fuel'!A1", "Constants - Fuel")</f>
        <v>Constants - Fuel</v>
      </c>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s="5" t="str">
        <f>HYPERLINK("#'Constants - Scope 3'!A1", "Constants - Scope 3")</f>
        <v>Constants - Scope 3</v>
      </c>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s="5" t="str">
        <f>HYPERLINK("#'Constants - Common'!A1", "Constants - Common")</f>
        <v>Constants - Common</v>
      </c>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s="84" t="str">
        <f>HYPERLINK("#'Constants - Solid Waste'!A1", "Constants - Solid Waste")</f>
        <v>Constants - Solid Waste</v>
      </c>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s="5" t="str">
        <f>HYPERLINK("#'Acknowledgements'!A1", "Acknowledgements")</f>
        <v>Acknowledgements</v>
      </c>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A6F8C-0463-4672-8C79-8AD88DAFC0DD}">
  <sheetPr>
    <tabColor theme="2" tint="-0.499984740745262"/>
  </sheetPr>
  <dimension ref="A1:A65"/>
  <sheetViews>
    <sheetView workbookViewId="0" zoomScale="100" zoomScaleNormal="100">
      <pane xSplit="1" topLeftCell="B1" activePane="topRight" state="frozenSplit"/>
      <selection pane="topRight" activeCell="A64" sqref="A64"/>
    </sheetView>
  </sheetViews>
  <sheetFormatPr defaultRowHeight="15" x14ac:dyDescent="0.25"/>
  <cols>
    <col min="1" max="1" width="36.7109375" customWidth="1"/>
  </cols>
  <sheetData>
    <row r="1" spans="1:1" ht="25.5" x14ac:dyDescent="0.35">
      <c r="A1" s="10" t="e" vm="1">
        <v>#VALUE!</v>
      </c>
    </row>
    <row r="3" spans="1:1" ht="15.75" x14ac:dyDescent="0.25">
      <c r="A3" s="5" t="str">
        <f>HYPERLINK("#'Home'!A1", "Home")</f>
        <v>Home</v>
      </c>
    </row>
    <row r="4" spans="1:1" ht="15.75" x14ac:dyDescent="0.25">
      <c r="A4" s="5" t="str">
        <f>HYPERLINK("#'Results - Activity period'!A1", "Results - Activity period")</f>
        <v>Results - Activity period</v>
      </c>
    </row>
    <row r="5" spans="1:1" ht="15.75" x14ac:dyDescent="0.25">
      <c r="A5" s="5" t="str">
        <f>HYPERLINK("#'Results - Product EI'!A1", "Results - Product Emissions Intensity")</f>
        <v>Results - Product Emissions Intensity</v>
      </c>
    </row>
    <row r="6" spans="1:1" ht="15.75" x14ac:dyDescent="0.25">
      <c r="A6" s="5" t="str">
        <f>HYPERLINK("#'Results'!A1", "Results")</f>
        <v>Results</v>
      </c>
    </row>
    <row r="9" spans="1:1" x14ac:dyDescent="0.25">
      <c r="A9" s="7" t="s">
        <v>0</v>
      </c>
    </row>
    <row r="10" spans="1:1" ht="15.75" x14ac:dyDescent="0.25">
      <c r="A10" s="5" t="str">
        <f>HYPERLINK("#'Input - Enterprise'!A1", "Enterprise")</f>
        <v>Enterprise</v>
      </c>
    </row>
    <row r="11" spans="1:1" ht="15.75" x14ac:dyDescent="0.25">
      <c r="A11" s="5" t="str">
        <f>HYPERLINK("#'Input - Site'!A1", "Site")</f>
        <v>Site</v>
      </c>
    </row>
    <row r="12" spans="1:1" ht="15.75" x14ac:dyDescent="0.25">
      <c r="A12" s="5" t="str">
        <f>HYPERLINK("#'Input - Dairy'!A1", "Dairy")</f>
        <v>Dairy</v>
      </c>
    </row>
    <row r="13" spans="1:1" ht="15.75" x14ac:dyDescent="0.25">
      <c r="A13" s="5" t="str">
        <f>HYPERLINK("#'Input - Livestock sales'!A1", "Livestock sales")</f>
        <v>Livestock sales</v>
      </c>
    </row>
    <row r="14" spans="1:1" ht="15.75" x14ac:dyDescent="0.25">
      <c r="A14" s="5" t="str">
        <f>HYPERLINK("#'Input - Dairy cattle purchases'!A1", "Dairy cattle purchases")</f>
        <v>Dairy cattle purchases</v>
      </c>
    </row>
    <row r="15" spans="1:1" ht="15.75" x14ac:dyDescent="0.25">
      <c r="A15" s="5" t="str">
        <f>HYPERLINK("#'Input - Pasture'!A1", "Pasture")</f>
        <v>Pasture</v>
      </c>
    </row>
    <row r="16" spans="1:1" ht="15.75" x14ac:dyDescent="0.25">
      <c r="A16" s="5" t="str">
        <f>HYPERLINK("#'Input - Fert Prod System'!A1", "Fert Prod System")</f>
        <v>Fert Prod System</v>
      </c>
    </row>
    <row r="17" spans="1:1" ht="15.75" x14ac:dyDescent="0.25">
      <c r="A17" s="5" t="str">
        <f>HYPERLINK("#'Input - Fertiliser'!A1", "Fertiliser")</f>
        <v>Fertiliser</v>
      </c>
    </row>
    <row r="18" spans="1:1" ht="15.75" x14ac:dyDescent="0.25">
      <c r="A18" s="5" t="str">
        <f>HYPERLINK("#'Input - Fuel'!A1", "Fuel")</f>
        <v>Fuel</v>
      </c>
    </row>
    <row r="19" spans="1:1" ht="15.75" x14ac:dyDescent="0.25">
      <c r="A19" s="5" t="str">
        <f>HYPERLINK("#'Input - Electricity'!A1", "Electricity")</f>
        <v>Electricity</v>
      </c>
    </row>
    <row r="20" spans="1:1" ht="15.75" x14ac:dyDescent="0.25">
      <c r="A20" s="5" t="str">
        <f>HYPERLINK("#'Input - Common farm inputs'!A1", "Common farm inputs")</f>
        <v>Common farm inputs</v>
      </c>
    </row>
    <row r="21" spans="1:1" ht="15.75" x14ac:dyDescent="0.25">
      <c r="A21" s="5" t="str">
        <f>HYPERLINK("#'Input - Crop pasture farm input'!A1", "Crop pasture farm input")</f>
        <v>Crop pasture farm input</v>
      </c>
    </row>
    <row r="22" spans="1:1" ht="15.75" x14ac:dyDescent="0.25">
      <c r="A22" s="5" t="str">
        <f>HYPERLINK("#'Input - Livestock farm Inputs'!A1", "Livestock farm Inputs")</f>
        <v>Livestock farm Inputs</v>
      </c>
    </row>
    <row r="23" spans="1:1" ht="15.75" x14ac:dyDescent="0.25">
      <c r="A23" s="5" t="str">
        <f>HYPERLINK("#'Input - Freight'!A1", "Freight")</f>
        <v>Freight</v>
      </c>
    </row>
    <row r="24" spans="1:1" ht="15.75" x14ac:dyDescent="0.25">
      <c r="A24" s="5" t="str">
        <f>HYPERLINK("#'Input - Solid waste'!A1", "Solid waste")</f>
        <v>Solid waste</v>
      </c>
    </row>
    <row r="25" spans="1:1" ht="15.75" x14ac:dyDescent="0.25">
      <c r="A25" s="5" t="str">
        <f>HYPERLINK("#'Input - Manure sent off-site'!A1", "Manure sent off-site")</f>
        <v>Manure sent off-site</v>
      </c>
    </row>
    <row r="26" spans="1:1" ht="15.75" x14ac:dyDescent="0.25">
      <c r="A26" s="5" t="str">
        <f>HYPERLINK("#'Input - Data quality'!A1", "Data quality")</f>
        <v>Data quality</v>
      </c>
    </row>
    <row r="29" spans="1:1" x14ac:dyDescent="0.25">
      <c r="A29" s="6" t="s">
        <v>2</v>
      </c>
    </row>
    <row r="30" spans="1:1" ht="15.75" x14ac:dyDescent="0.25">
      <c r="A30" s="5" t="str">
        <f>HYPERLINK("#'3.3.1.1-2 Enteric Methane'!A1", "3.3.1.1-2 Enteric methane")</f>
        <v>3.3.1.1-2 Enteric methane</v>
      </c>
    </row>
    <row r="31" spans="1:1" ht="15.75" x14ac:dyDescent="0.25">
      <c r="A31" s="5" t="str">
        <f>HYPERLINK("#'4.3.1.1-2 Methane'!A1", "4.3.1.1-2 Manure methane")</f>
        <v>4.3.1.1-2 Manure methane</v>
      </c>
    </row>
    <row r="32" spans="1:1" ht="15.75" x14ac:dyDescent="0.25">
      <c r="A32" s="5" t="str">
        <f>HYPERLINK("#'4.3.1.3-4 Direct N20'!A1", "4.3.1.3-4 Direct N20")</f>
        <v>4.3.1.3-4 Direct N20</v>
      </c>
    </row>
    <row r="33" spans="1:1" ht="15.75" x14ac:dyDescent="0.25">
      <c r="A33" s="5" t="str">
        <f>HYPERLINK("#'4.3.1.5 Atmos deposition'!A1", "4.3.1.5 Atmos deposition")</f>
        <v>4.3.1.5 Atmos deposition</v>
      </c>
    </row>
    <row r="34" spans="1:1" ht="15.75" x14ac:dyDescent="0.25">
      <c r="A34" s="5" t="str">
        <f>HYPERLINK("#'4.3.1.6-7 Leaching and runoff'!A1", "4.3.1.6-7 Leaching &amp; runoff")</f>
        <v>4.3.1.6-7 Leaching &amp; runoff</v>
      </c>
    </row>
    <row r="35" spans="1:1" ht="15.75" x14ac:dyDescent="0.25">
      <c r="A35" s="5" t="str">
        <f>HYPERLINK("#'4.3.1.8 Manure applied to soils'!A1", "4.3.1.8 Manure applied to soils")</f>
        <v>4.3.1.8 Manure applied to soils</v>
      </c>
    </row>
    <row r="36" spans="1:1" ht="15.75" x14ac:dyDescent="0.25">
      <c r="A36" s="5" t="str">
        <f>HYPERLINK("#'4.3.1.9 Soil direct N2O'!A1", "4.3.1.9 Soil direct N2O")</f>
        <v>4.3.1.9 Soil direct N2O</v>
      </c>
    </row>
    <row r="37" spans="1:1" ht="15.75" x14ac:dyDescent="0.25">
      <c r="A37" s="5" t="str">
        <f>HYPERLINK("#'4.3.1.10-11 Soil Atmos Dep'!A1", "4.3.1.10-11 Soil Atmos Deposition")</f>
        <v>4.3.1.10-11 Soil Atmos Deposition</v>
      </c>
    </row>
    <row r="38" spans="1:1" ht="15.75" x14ac:dyDescent="0.25">
      <c r="A38" s="5" t="str">
        <f>HYPERLINK("#'4.3.1.12-13 Soil leach runoff'!A1", "4.3.1.12-13 Soil leach &amp; runoff")</f>
        <v>4.3.1.12-13 Soil leach &amp; runoff</v>
      </c>
    </row>
    <row r="39" spans="1:1" ht="15.75" x14ac:dyDescent="0.25">
      <c r="A39" s="5" t="str">
        <f>HYPERLINK("#'5.1.1.1-2 Inorganic fert N2O'!A1", "5.1.1.1-2 Inorganic fert N2O")</f>
        <v>5.1.1.1-2 Inorganic fert N2O</v>
      </c>
    </row>
    <row r="40" spans="1:1" ht="15.75" x14ac:dyDescent="0.25">
      <c r="A40" s="5" t="str">
        <f>HYPERLINK("#'5.1.1.3-4 Inorganic fert CO2'!A1", "5.1.1.3-4 Inorganic fert CO2")</f>
        <v>5.1.1.3-4 Inorganic fert CO2</v>
      </c>
    </row>
    <row r="41" spans="1:1" ht="15.75" x14ac:dyDescent="0.25">
      <c r="A41" s="5" t="str">
        <f>HYPERLINK("#'5.2.1.1-2 Organic Fert N2O'!A1", "5.2.1.1-2 Organic fert N2O")</f>
        <v>5.2.1.1-2 Organic fert N2O</v>
      </c>
    </row>
    <row r="42" spans="1:1" ht="15.75" x14ac:dyDescent="0.25">
      <c r="A42" s="5" t="str">
        <f>HYPERLINK("#'5.3.1.1-2 Lime CO2'!A1", "5.3.1.1-2 Lime CO2")</f>
        <v>5.3.1.1-2 Lime CO2</v>
      </c>
    </row>
    <row r="43" spans="1:1" ht="15.75" x14ac:dyDescent="0.25">
      <c r="A43" s="5" t="str">
        <f>HYPERLINK("#'5.4.1.1-4 Atmos deposition'!A1", "5.4.1.1-4 Atmos. deposition")</f>
        <v>5.4.1.1-4 Atmos. deposition</v>
      </c>
    </row>
    <row r="44" spans="1:1" ht="15.75" x14ac:dyDescent="0.25">
      <c r="A44" s="5" t="str">
        <f>HYPERLINK("#'5.5.1.1-2 Leaching and runoff'!A1", "5.5.1.1-2 Leaching &amp; runoff")</f>
        <v>5.5.1.1-2 Leaching &amp; runoff</v>
      </c>
    </row>
    <row r="45" spans="1:1" ht="15.75" x14ac:dyDescent="0.25">
      <c r="A45" s="5" t="str">
        <f>HYPERLINK("#'6.2.1.1-2 Pasture residue N2O'!A1", "6.2.1.1-2 Pasture residue N2O")</f>
        <v>6.2.1.1-2 Pasture residue N2O</v>
      </c>
    </row>
    <row r="46" spans="1:1" ht="15.75" x14ac:dyDescent="0.25">
      <c r="A46" s="5" t="str">
        <f>HYPERLINK("#'6.3.1.1-2 Leach runoff pasture'!A1", "6.3.1.1-2 Leach &amp; runoff (pasture)")</f>
        <v>6.3.1.1-2 Leach &amp; runoff (pasture)</v>
      </c>
    </row>
    <row r="47" spans="1:1" ht="15.75" x14ac:dyDescent="0.25">
      <c r="A47" s="5" t="str">
        <f>HYPERLINK("#'8.1.1.1-2 Transport fuel'!A1", "8.1.1.1-2 Transport fuel")</f>
        <v>8.1.1.1-2 Transport fuel</v>
      </c>
    </row>
    <row r="48" spans="1:1" ht="15.75" x14ac:dyDescent="0.25">
      <c r="A48" s="5" t="str">
        <f>HYPERLINK("#'8.2.1.1-2 Stationary fuel'!A1", "8.2.1.1-2 Stationary fuel")</f>
        <v>8.2.1.1-2 Stationary fuel</v>
      </c>
    </row>
    <row r="49" spans="1:1" ht="15.75" x14ac:dyDescent="0.25">
      <c r="A49" s="5" t="str">
        <f>HYPERLINK("#'10.1.1-2 Solid waste treatment'!A1", "10.1.1.1-2 Solid waste")</f>
        <v>10.1.1.1-2 Solid waste</v>
      </c>
    </row>
    <row r="50" spans="1:1" ht="15.75" x14ac:dyDescent="0.25">
      <c r="A50" s="5" t="str">
        <f>HYPERLINK("#'14.1.1-2 Purchased electricity'!A1", "14.1.1-2 Purchased electricity")</f>
        <v>14.1.1-2 Purchased electricity</v>
      </c>
    </row>
    <row r="51" spans="1:1" ht="15.75" x14ac:dyDescent="0.25">
      <c r="A51" s="5" t="str">
        <f>HYPERLINK("#'15 Scope 3'!A1", "15 Scope 3")</f>
        <v>15 Scope 3</v>
      </c>
    </row>
    <row r="52" spans="1:1" ht="15.75" x14ac:dyDescent="0.25">
      <c r="A52" s="5" t="str">
        <f>HYPERLINK("#'Calcs - Manure sent off-site'!A1", "Calcs - Manure sent off-site")</f>
        <v>Calcs - Manure sent off-site</v>
      </c>
    </row>
    <row r="55" spans="1:1" x14ac:dyDescent="0.25">
      <c r="A55" s="83" t="s">
        <v>1</v>
      </c>
    </row>
    <row r="56" spans="1:1" ht="15.75" x14ac:dyDescent="0.25">
      <c r="A56" s="5" t="str">
        <f>HYPERLINK("#'Constants - Dairy'!A1", "Constants - Dairy")</f>
        <v>Constants - Dairy</v>
      </c>
    </row>
    <row r="57" spans="1:1" ht="15.75" x14ac:dyDescent="0.25">
      <c r="A57" s="5" t="str">
        <f>HYPERLINK("#'Constants - Ag Residue'!A1", "Constants - Ag residue")</f>
        <v>Constants - Ag residue</v>
      </c>
    </row>
    <row r="58" spans="1:1" ht="15.75" x14ac:dyDescent="0.25">
      <c r="A58" s="5" t="str">
        <f>HYPERLINK("#'Constants - Common Livestock'!A1", "Constants - Common Livestock")</f>
        <v>Constants - Common Livestock</v>
      </c>
    </row>
    <row r="59" spans="1:1" ht="15.75" x14ac:dyDescent="0.25">
      <c r="A59" s="5" t="str">
        <f>HYPERLINK("#'Constants - Electricity'!A1", "Constants - Electricity")</f>
        <v>Constants - Electricity</v>
      </c>
    </row>
    <row r="60" spans="1:1" ht="15.75" x14ac:dyDescent="0.25">
      <c r="A60" s="5" t="str">
        <f>HYPERLINK("#'Constants - Fertiliser'!A1", "Constants - Fertiliser")</f>
        <v>Constants - Fertiliser</v>
      </c>
    </row>
    <row r="61" spans="1:1" ht="15.75" x14ac:dyDescent="0.25">
      <c r="A61" s="5" t="str">
        <f>HYPERLINK("#'Constants - Fuel'!A1", "Constants - Fuel")</f>
        <v>Constants - Fuel</v>
      </c>
    </row>
    <row r="62" spans="1:1" ht="15.75" x14ac:dyDescent="0.25">
      <c r="A62" s="5" t="str">
        <f>HYPERLINK("#'Constants - Scope 3'!A1", "Constants - Scope 3")</f>
        <v>Constants - Scope 3</v>
      </c>
    </row>
    <row r="63" spans="1:1" ht="15.75" x14ac:dyDescent="0.25">
      <c r="A63" s="5" t="str">
        <f>HYPERLINK("#'Constants - Common'!A1", "Constants - Common")</f>
        <v>Constants - Common</v>
      </c>
    </row>
    <row r="64" spans="1:1" ht="15.75" x14ac:dyDescent="0.25">
      <c r="A64" s="5" t="str">
        <f>HYPERLINK("#'Constants - Solid Waste'!A1", "Constants - Solid Waste")</f>
        <v>Constants - Solid Waste</v>
      </c>
    </row>
    <row r="65" spans="1:1" ht="15.75" x14ac:dyDescent="0.25">
      <c r="A65" s="84" t="str">
        <f>HYPERLINK("#'Acknowledgements'!A1", "Acknowledgements")</f>
        <v>Acknowledgements</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532C-8540-44E5-8090-E452C3E8BF20}">
  <sheetPr>
    <tabColor rgb="FFCC6600"/>
  </sheetPr>
  <dimension ref="A1:M65"/>
  <sheetViews>
    <sheetView showGridLines="0" tabSelected="1" workbookViewId="0" zoomScale="100" zoomScaleNormal="100">
      <pane xSplit="1" topLeftCell="B1" activePane="topRight" state="frozenSplit"/>
      <selection pane="topRight" activeCell="B1" sqref="B1"/>
    </sheetView>
  </sheetViews>
  <sheetFormatPr defaultRowHeight="15.75" x14ac:dyDescent="0.25"/>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25.5" x14ac:dyDescent="0.35">
      <c r="C1" s="10" t="s">
        <v>188</v>
      </c>
    </row>
    <row r="2" spans="1:13" s="3" customFormat="1" x14ac:dyDescent="0.25">
      <c r="A2"/>
    </row>
    <row r="3" spans="1:13" ht="20.25" x14ac:dyDescent="0.25">
      <c r="A3" s="5" t="str">
        <f>HYPERLINK("#'Home'!A1", "Home")</f>
        <v>Home</v>
      </c>
      <c r="C3" s="28"/>
      <c r="D3" s="28"/>
      <c r="E3" s="28"/>
      <c r="F3" s="28"/>
      <c r="G3" s="28"/>
      <c r="H3" s="28"/>
      <c r="I3" s="28"/>
      <c r="J3" s="28"/>
      <c r="K3" s="28"/>
      <c r="L3" s="28"/>
      <c r="M3" s="28"/>
    </row>
    <row r="4" spans="1:13" x14ac:dyDescent="0.25">
      <c r="A4" s="5" t="str">
        <f>HYPERLINK("#'Results - Activity period'!A1", "Results - Activity period")</f>
        <v>Results - Activity period</v>
      </c>
    </row>
    <row r="5" spans="1:13" x14ac:dyDescent="0.25">
      <c r="A5" s="5" t="str">
        <f>HYPERLINK("#'Results - Product EI'!A1", "Results - Product Emissions Intensity")</f>
        <v>Results - Product Emissions Intensity</v>
      </c>
    </row>
    <row r="6" spans="1:13" x14ac:dyDescent="0.25">
      <c r="A6" s="5" t="str">
        <f>HYPERLINK("#'Results'!A1", "Results")</f>
        <v>Results</v>
      </c>
      <c r="D6" s="81" t="s">
        <v>189</v>
      </c>
      <c r="E6" s="81" t="s">
        <v>190</v>
      </c>
      <c r="F6" s="81" t="s">
        <v>191</v>
      </c>
      <c r="G6" s="81" t="s">
        <v>192</v>
      </c>
      <c r="H6" s="81" t="s">
        <v>193</v>
      </c>
      <c r="I6" s="81" t="s">
        <v>194</v>
      </c>
      <c r="J6" s="81" t="s">
        <v>195</v>
      </c>
    </row>
    <row r="7" spans="1:13" x14ac:dyDescent="0.25">
      <c r="D7" s="82" t="s">
        <v>196</v>
      </c>
      <c r="E7" s="13" t="s">
        <v>197</v>
      </c>
      <c r="F7" s="13" t="s">
        <v>198</v>
      </c>
      <c r="G7" s="13" t="s">
        <v>199</v>
      </c>
      <c r="H7" s="82"/>
      <c r="I7" s="82"/>
      <c r="J7" s="15">
        <f>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f>
        <v>12</v>
      </c>
    </row>
    <row r="9" spans="1:13" x14ac:dyDescent="0.25">
      <c r="A9" s="7" t="s">
        <v>0</v>
      </c>
    </row>
    <row r="10" spans="1:13" x14ac:dyDescent="0.25">
      <c r="A10" s="5" t="str">
        <f>HYPERLINK("#'Input - Enterprise'!A1", "Enterprise")</f>
        <v>Enterprise</v>
      </c>
    </row>
    <row r="11" spans="1:13" x14ac:dyDescent="0.25">
      <c r="A11" s="5" t="str">
        <f>HYPERLINK("#'Input - Site'!A1", "Site")</f>
        <v>Site</v>
      </c>
    </row>
    <row r="12" spans="1:13" x14ac:dyDescent="0.25">
      <c r="A12" s="5" t="str">
        <f>HYPERLINK("#'Input - Dairy'!A1", "Dairy")</f>
        <v>Dairy</v>
      </c>
    </row>
    <row r="13" spans="1:13" x14ac:dyDescent="0.25">
      <c r="A13" s="5" t="str">
        <f>HYPERLINK("#'Input - Livestock sales'!A1", "Livestock sales")</f>
        <v>Livestock sales</v>
      </c>
    </row>
    <row r="14" spans="1:13" x14ac:dyDescent="0.25">
      <c r="A14" s="5" t="str">
        <f>HYPERLINK("#'Input - Dairy cattle purchases'!A1", "Dairy cattle purchases")</f>
        <v>Dairy cattle purchases</v>
      </c>
    </row>
    <row r="15" spans="1:13" x14ac:dyDescent="0.25">
      <c r="A15" s="5" t="str">
        <f>HYPERLINK("#'Input - Pasture'!A1", "Pasture")</f>
        <v>Pasture</v>
      </c>
    </row>
    <row r="16" spans="1:13" x14ac:dyDescent="0.25">
      <c r="A16" s="5" t="str">
        <f>HYPERLINK("#'Input - Fert Prod System'!A1", "Fert Prod System")</f>
        <v>Fert Prod System</v>
      </c>
    </row>
    <row r="17" spans="1:1" x14ac:dyDescent="0.25">
      <c r="A17" s="5" t="str">
        <f>HYPERLINK("#'Input - Fertiliser'!A1", "Fertiliser")</f>
        <v>Fertiliser</v>
      </c>
    </row>
    <row r="18" spans="1:1" x14ac:dyDescent="0.25">
      <c r="A18" s="5" t="str">
        <f>HYPERLINK("#'Input - Fuel'!A1", "Fuel")</f>
        <v>Fuel</v>
      </c>
    </row>
    <row r="19" spans="1:1" x14ac:dyDescent="0.25">
      <c r="A19" s="5" t="str">
        <f>HYPERLINK("#'Input - Electricity'!A1", "Electricity")</f>
        <v>Electricity</v>
      </c>
    </row>
    <row r="20" spans="1:1" x14ac:dyDescent="0.25">
      <c r="A20" s="5" t="str">
        <f>HYPERLINK("#'Input - Common farm inputs'!A1", "Common farm inputs")</f>
        <v>Common farm inputs</v>
      </c>
    </row>
    <row r="21" spans="1:1" x14ac:dyDescent="0.25">
      <c r="A21" s="5" t="str">
        <f>HYPERLINK("#'Input - Crop pasture farm input'!A1", "Crop pasture farm input")</f>
        <v>Crop pasture farm input</v>
      </c>
    </row>
    <row r="22" spans="1:1" x14ac:dyDescent="0.25">
      <c r="A22" s="5" t="str">
        <f>HYPERLINK("#'Input - Livestock farm Inputs'!A1", "Livestock farm Inputs")</f>
        <v>Livestock farm Inputs</v>
      </c>
    </row>
    <row r="23" spans="1:1" x14ac:dyDescent="0.25">
      <c r="A23" s="5" t="str">
        <f>HYPERLINK("#'Input - Freight'!A1", "Freight")</f>
        <v>Freight</v>
      </c>
    </row>
    <row r="24" spans="1:1" x14ac:dyDescent="0.25">
      <c r="A24" s="5" t="str">
        <f>HYPERLINK("#'Input - Solid waste'!A1", "Solid waste")</f>
        <v>Solid waste</v>
      </c>
    </row>
    <row r="25" spans="1:1" x14ac:dyDescent="0.25">
      <c r="A25" s="5" t="str">
        <f>HYPERLINK("#'Input - Manure sent off-site'!A1", "Manure sent off-site")</f>
        <v>Manure sent off-site</v>
      </c>
    </row>
    <row r="26" spans="1:1" x14ac:dyDescent="0.25">
      <c r="A26" s="99" t="str">
        <f>HYPERLINK("#'Input - Data quality'!A1", "Data quality")</f>
        <v>Data quality</v>
      </c>
    </row>
    <row r="29" spans="1:1" x14ac:dyDescent="0.25">
      <c r="A29" s="6" t="s">
        <v>2</v>
      </c>
    </row>
    <row r="30" spans="1:1" x14ac:dyDescent="0.25">
      <c r="A30" s="5" t="str">
        <f>HYPERLINK("#'3.3.1.1-2 Enteric Methane'!A1", "3.3.1.1-2 Enteric methane")</f>
        <v>3.3.1.1-2 Enteric methane</v>
      </c>
    </row>
    <row r="31" spans="1:1" x14ac:dyDescent="0.25">
      <c r="A31" s="5" t="str">
        <f>HYPERLINK("#'4.3.1.1-2 Methane'!A1", "4.3.1.1-2 Manure methane")</f>
        <v>4.3.1.1-2 Manure methane</v>
      </c>
    </row>
    <row r="32" spans="1:1" x14ac:dyDescent="0.25">
      <c r="A32" s="5" t="str">
        <f>HYPERLINK("#'4.3.1.3-4 Direct N20'!A1", "4.3.1.3-4 Direct N20")</f>
        <v>4.3.1.3-4 Direct N20</v>
      </c>
    </row>
    <row r="33" spans="1:1" x14ac:dyDescent="0.25">
      <c r="A33" s="5" t="str">
        <f>HYPERLINK("#'4.3.1.5 Atmos deposition'!A1", "4.3.1.5 Atmos deposition")</f>
        <v>4.3.1.5 Atmos deposition</v>
      </c>
    </row>
    <row r="34" spans="1:1" x14ac:dyDescent="0.25">
      <c r="A34" s="5" t="str">
        <f>HYPERLINK("#'4.3.1.6-7 Leaching and runoff'!A1", "4.3.1.6-7 Leaching &amp; runoff")</f>
        <v>4.3.1.6-7 Leaching &amp; runoff</v>
      </c>
    </row>
    <row r="35" spans="1:1" x14ac:dyDescent="0.25">
      <c r="A35" s="5" t="str">
        <f>HYPERLINK("#'4.3.1.8 Manure applied to soils'!A1", "4.3.1.8 Manure applied to soils")</f>
        <v>4.3.1.8 Manure applied to soils</v>
      </c>
    </row>
    <row r="36" spans="1:1" x14ac:dyDescent="0.25">
      <c r="A36" s="5" t="str">
        <f>HYPERLINK("#'4.3.1.9 Soil direct N2O'!A1", "4.3.1.9 Soil direct N2O")</f>
        <v>4.3.1.9 Soil direct N2O</v>
      </c>
    </row>
    <row r="37" spans="1:1" x14ac:dyDescent="0.25">
      <c r="A37" s="5" t="str">
        <f>HYPERLINK("#'4.3.1.10-11 Soil Atmos Dep'!A1", "4.3.1.10-11 Soil Atmos Deposition")</f>
        <v>4.3.1.10-11 Soil Atmos Deposition</v>
      </c>
    </row>
    <row r="38" spans="1:1" x14ac:dyDescent="0.25">
      <c r="A38" s="5" t="str">
        <f>HYPERLINK("#'4.3.1.12-13 Soil leach runoff'!A1", "4.3.1.12-13 Soil leach &amp; runoff")</f>
        <v>4.3.1.12-13 Soil leach &amp; runoff</v>
      </c>
    </row>
    <row r="39" spans="1:1" x14ac:dyDescent="0.25">
      <c r="A39" s="5" t="str">
        <f>HYPERLINK("#'5.1.1.1-2 Inorganic fert N2O'!A1", "5.1.1.1-2 Inorganic fert N2O")</f>
        <v>5.1.1.1-2 Inorganic fert N2O</v>
      </c>
    </row>
    <row r="40" spans="1:1" x14ac:dyDescent="0.25">
      <c r="A40" s="5" t="str">
        <f>HYPERLINK("#'5.1.1.3-4 Inorganic fert CO2'!A1", "5.1.1.3-4 Inorganic fert CO2")</f>
        <v>5.1.1.3-4 Inorganic fert CO2</v>
      </c>
    </row>
    <row r="41" spans="1:1" x14ac:dyDescent="0.25">
      <c r="A41" s="5" t="str">
        <f>HYPERLINK("#'5.2.1.1-2 Organic Fert N2O'!A1", "5.2.1.1-2 Organic fert N2O")</f>
        <v>5.2.1.1-2 Organic fert N2O</v>
      </c>
    </row>
    <row r="42" spans="1:1" x14ac:dyDescent="0.25">
      <c r="A42" s="5" t="str">
        <f>HYPERLINK("#'5.3.1.1-2 Lime CO2'!A1", "5.3.1.1-2 Lime CO2")</f>
        <v>5.3.1.1-2 Lime CO2</v>
      </c>
    </row>
    <row r="43" spans="1:1" x14ac:dyDescent="0.25">
      <c r="A43" s="5" t="str">
        <f>HYPERLINK("#'5.4.1.1-4 Atmos deposition'!A1", "5.4.1.1-4 Atmos. deposition")</f>
        <v>5.4.1.1-4 Atmos. deposition</v>
      </c>
    </row>
    <row r="44" spans="1:1" x14ac:dyDescent="0.25">
      <c r="A44" s="5" t="str">
        <f>HYPERLINK("#'5.5.1.1-2 Leaching and runoff'!A1", "5.5.1.1-2 Leaching &amp; runoff")</f>
        <v>5.5.1.1-2 Leaching &amp; runoff</v>
      </c>
    </row>
    <row r="45" spans="1:1" x14ac:dyDescent="0.25">
      <c r="A45" s="5" t="str">
        <f>HYPERLINK("#'6.2.1.1-2 Pasture residue N2O'!A1", "6.2.1.1-2 Pasture residue N2O")</f>
        <v>6.2.1.1-2 Pasture residue N2O</v>
      </c>
    </row>
    <row r="46" spans="1:1" x14ac:dyDescent="0.25">
      <c r="A46" s="5" t="str">
        <f>HYPERLINK("#'6.3.1.1-2 Leach runoff pasture'!A1", "6.3.1.1-2 Leach &amp; runoff (pasture)")</f>
        <v>6.3.1.1-2 Leach &amp; runoff (pasture)</v>
      </c>
    </row>
    <row r="47" spans="1:1" x14ac:dyDescent="0.25">
      <c r="A47" s="5" t="str">
        <f>HYPERLINK("#'8.1.1.1-2 Transport fuel'!A1", "8.1.1.1-2 Transport fuel")</f>
        <v>8.1.1.1-2 Transport fuel</v>
      </c>
    </row>
    <row r="48" spans="1:1" x14ac:dyDescent="0.25">
      <c r="A48" s="5" t="str">
        <f>HYPERLINK("#'8.2.1.1-2 Stationary fuel'!A1", "8.2.1.1-2 Stationary fuel")</f>
        <v>8.2.1.1-2 Stationary fuel</v>
      </c>
    </row>
    <row r="49" spans="1:1" x14ac:dyDescent="0.25">
      <c r="A49" s="5" t="str">
        <f>HYPERLINK("#'10.1.1-2 Solid waste treatment'!A1", "10.1.1.1-2 Solid waste")</f>
        <v>10.1.1.1-2 Solid waste</v>
      </c>
    </row>
    <row r="50" spans="1:1" x14ac:dyDescent="0.25">
      <c r="A50" s="5" t="str">
        <f>HYPERLINK("#'14.1.1-2 Purchased electricity'!A1", "14.1.1-2 Purchased electricity")</f>
        <v>14.1.1-2 Purchased electricity</v>
      </c>
    </row>
    <row r="51" spans="1:1" x14ac:dyDescent="0.25">
      <c r="A51" s="5" t="str">
        <f>HYPERLINK("#'15 Scope 3'!A1", "15 Scope 3")</f>
        <v>15 Scope 3</v>
      </c>
    </row>
    <row r="52" spans="1:1" x14ac:dyDescent="0.25">
      <c r="A52" s="5" t="str">
        <f>HYPERLINK("#'Calcs - Manure sent off-site'!A1", "Calcs - Manure sent off-site")</f>
        <v>Calcs - Manure sent off-site</v>
      </c>
    </row>
    <row r="55" spans="1:1" x14ac:dyDescent="0.25">
      <c r="A55" s="83" t="s">
        <v>1</v>
      </c>
    </row>
    <row r="56" spans="1:1" x14ac:dyDescent="0.25">
      <c r="A56" s="5" t="str">
        <f>HYPERLINK("#'Constants - Dairy'!A1", "Constants - Dairy")</f>
        <v>Constants - Dairy</v>
      </c>
    </row>
    <row r="57" spans="1:1" x14ac:dyDescent="0.25">
      <c r="A57" s="5" t="str">
        <f>HYPERLINK("#'Constants - Ag Residue'!A1", "Constants - Ag residue")</f>
        <v>Constants - Ag residue</v>
      </c>
    </row>
    <row r="58" spans="1:1" x14ac:dyDescent="0.25">
      <c r="A58" s="5" t="str">
        <f>HYPERLINK("#'Constants - Common Livestock'!A1", "Constants - Common Livestock")</f>
        <v>Constants - Common Livestock</v>
      </c>
    </row>
    <row r="59" spans="1:1" x14ac:dyDescent="0.25">
      <c r="A59" s="5" t="str">
        <f>HYPERLINK("#'Constants - Electricity'!A1", "Constants - Electricity")</f>
        <v>Constants - Electricity</v>
      </c>
    </row>
    <row r="60" spans="1:1" x14ac:dyDescent="0.25">
      <c r="A60" s="5" t="str">
        <f>HYPERLINK("#'Constants - Fertiliser'!A1", "Constants - Fertiliser")</f>
        <v>Constants - Fertiliser</v>
      </c>
    </row>
    <row r="61" spans="1:1" x14ac:dyDescent="0.25">
      <c r="A61" s="5" t="str">
        <f>HYPERLINK("#'Constants - Fuel'!A1", "Constants - Fuel")</f>
        <v>Constants - Fuel</v>
      </c>
    </row>
    <row r="62" spans="1:1" x14ac:dyDescent="0.25">
      <c r="A62" s="5" t="str">
        <f>HYPERLINK("#'Constants - Scope 3'!A1", "Constants - Scope 3")</f>
        <v>Constants - Scope 3</v>
      </c>
    </row>
    <row r="63" spans="1:1" x14ac:dyDescent="0.25">
      <c r="A63" s="5" t="str">
        <f>HYPERLINK("#'Constants - Common'!A1", "Constants - Common")</f>
        <v>Constants - Common</v>
      </c>
    </row>
    <row r="64" spans="1:1" x14ac:dyDescent="0.25">
      <c r="A64" s="5" t="str">
        <f>HYPERLINK("#'Constants - Solid Waste'!A1", "Constants - Solid Waste")</f>
        <v>Constants - Solid Waste</v>
      </c>
    </row>
    <row r="65" spans="1:1" x14ac:dyDescent="0.25">
      <c r="A65" s="5" t="str">
        <f>HYPERLINK("#'Acknowledgements'!A1", "Acknowledgements")</f>
        <v>Acknowledgements</v>
      </c>
    </row>
  </sheetData>
  <dataValidations count="3">
    <dataValidation type="list" allowBlank="1" showInputMessage="1" showErrorMessage="1" sqref="G7" xr:uid="{023991CC-ACAB-4CCA-BF6E-5B4983A34A68}">
      <formula1>INDIRECT("Table_SourceData_DataQuality_SampleSize[ID]")</formula1>
    </dataValidation>
    <dataValidation type="list" allowBlank="1" showInputMessage="1" showErrorMessage="1" sqref="F7" xr:uid="{D85C1557-4D18-4B87-9B82-D7755813B359}">
      <formula1>INDIRECT("Table_SourceData_DataQuality_SpatialRepresentativeness[ID]")</formula1>
    </dataValidation>
    <dataValidation type="list" allowBlank="1" showInputMessage="1" showErrorMessage="1" sqref="E7" xr:uid="{D7C04A1D-8792-4527-94D7-0D838FC14D35}">
      <formula1>INDIRECT("Table_SourceData_DataQuality_TemporalRepresentativeness[ID]")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EAGEAaQByAHk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IABNAGUAdABoAG8AZAAgADEAIAAtACAATQBhAG4AdQByAGUAIABNAGUAdABoAGEAbgBl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BfAF8AMQBfAFQAbwB0AGEAbABBAG4AbgB1AGEAbABNAGUAdABoAGEAbgBlAEYAcgBvAG0ATQBhAG4AdQByAGUATQBhAG4AYQBnAGUAbQBlAG4AdABcAG4AVABvAHQAYQBsACAAYQBuAG4AdQBhAGwAIABtAGUAdABoAGEAbgBlACAAcAByAG8AZAB1AGMAdABpAG8AbgAgAGYAcgBvAG0AIABtAGEAbgB1AHIAZQAgAG0AYQBuAGEAZwBlAG0AZQBuAHQAXABuAEUAXwBDAEgANABcAG4AdAAgAEMASAA0AFwAbgBFAF8AewBDAEgANAB9AD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bgBOAF8AagAxADIANAAgAD0AIABuAHUAbQBiAGUAcgAgAG8AZgAgAGQAYQBpAHIAeQAgAGMAYQB0AHQAbABlACAAaQBuACAAYwBsAGEAcwBzAGUAcwAgAGoAPQAxACwAMgAsADQAXABuAE0AXwBqADEAMgA0AG0AIAA9ACAAbQBlAHQAaABhAG4AZQAgAHAAcgBvAGQAdQBjAHQAaQBvAG4AIABmAHIAbwBtACAAbQBhAG4AdQByAGUAIABvAGYAIAB3AGUAYQBuAGUAZAAgAGQAYQBpAHIAeQAgAGMAYQB0AHQAbABlACAAaQBuACAAYwBsAGEAcwBzAGUAcwAgAGoAPQAxACwAMgAsADQAIABpAG4AIABNAE0AUwAgAG0AIAAoAGsAZwAgAEMASAA0AC8AaABlAGEAZAAvAGQAYQB5ACkAXABuAEQAXwBqADEAMgA0ACAAPQAgAGQAdQByAGEAdABpAG8AbgAgAG8AZgAgAHMAdABhAHkAIABvAG4AIABmAGEAcgBtACAAZgBvAHIAIABjAGwAYQBzAHMAZQBzACAAagA9ADEALAAyACwANAAgACgAZABhAHkAcwApAFwAbgBOAF8AagAzADUAIAA9ACAAbgB1AG0AYgBlAHIAIABvAGYAIABkAGEAaQByAHkAIABjAGEAdAB0AGwAZQAgAGkAbgAgAGMAbABhAHMAcwBlAHMAIABqAD0AMwAsADUAXABuAE0AXwBqADMANQBtACAAPQAgAG0AZQB0AGgAYQBuAGUAIABwAHIAbwBkAHUAYwB0AGkAbwBuACAAZgByAG8AbQAgAG0AYQBuAHUAcgBlACAAbwBmACAAdwBlAGEAbgBlAGQAIABkAGEAaQByAHkAIABjAGEAdAB0AGwAZQAgAGkAbgAgAGMAbABhAHMAcwBlAHMAIABqAD0AMwAsADUAIABpAG4AIABNAE0AUwAgAG0AIAAoAGsAZwAgAEMASAA0AC8AaABlAGEAZAAvAGQAYQB5ACkAXABuAEQAXwBqADMANQAgAD0AIABkAHUAcgBhAHQAaQBvAG4AIABvAGYAIABzAHQAYQB5ACAAbwBuACAAZgBhAHIAbQAgAGYAbwByACAAYwBsAGEAcwBzAGUAcwAgAGoAPQAzACwANQAgACgAZABhAHkAcwApAFwAbgBNAFAAVwBfAG0AYQBuAHUAcgBlAF8AagAzADUAIAA9ACAAbQBlAHQAaABhAG4AZQAgAHAAcgBvAGQAdQBjAHQAaQBvAG4AIABmAHIAbwBtACAAbQBhAG4AdQByAGUAIABvAGY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0AF8AMwBfADEAXwAxAF8AXwAxAF8AVABvAHQAYQBsAEEAbgBuAHUAYQBsAE0AZQB0AGgAYQBuAGUARgByAG8AbQBNAGEAbgB1AHIAZQBNAGEAbgBhAGcAZQBtAGUAbgB0AFwAbgAgACAAPQBMAEEATQBCAEQAQQAoAFwAbgAgACAAIAAgAE4AXwBqADEAMgA0ACwAIABNAF8AagAxADIANABtACwAIABEAF8AagAxADIANAAsACAATgBfAGoAMwA1ACwAIABNAF8AagAzADUAbQAsACAARABfAGoAMwA1ACwAIABNAFAAVwBfAG0AYQBuAHUAcgBlAF8AagAzADUALABcAG4AIAAgACAAIAAoACgATgBfAGoAMQAyADQAIAAqACAATQBfAGoAMQAyADQAbQAgACoAIABEAF8AagAxADIANAApACAAKwAgACgATgBfAGoAMwA1ACAAKgAgAE0AXwBqADMANQBtACAAKgAgAEQAXwBqADMANQApACAAKwAgACgATgBfAGoAMwA1ACAAKgAgAE0AUABXAF8AbQBhAG4AdQByAGUAXwBqADMANQAgACoAIABEAF8AagAzADUAKQApACAAKgAgADEAMAAgAF4AIAAtADMAXABuACAAIAApADsAXABuAFwAbgBWAEUARQBSAEcAXwA0AF8AMwBfADEAXwAxAF8AXwAxAF8AVABvAHQAYQBsAEEAbgBuAHUAYQBsAE0AZQB0AGgAYQBuAGUARgByAG8AbQBNAGEAbgB1AHIAZQBNAGEAbgBhAGcAZQBtAGUAbgB0AFYAYQByAGkAYQB0AGkAbwBuAFwAbgAgACAAPQBMAEEATQBCAEQAQQAoAFwAbgAgACAAIAAgAE4AXwBqADEAMgA0ACwAIABNAF8AagAxADIANABtACwAIABEAF8AagAxADIANAAsACAATgBfAGoAMwA1ACwAIABNAF8AagAzADUAbQAsACAARABfAGoAMwA1ACwAIABNAFAAVwBfAG0AYQBuAHUAcgBlAF8AagAzADUALAAgAEQAUABXAF8AagAzADUALABcAG4AIAAgACAAIAAoACgATgBfAGoAMQAyADQAIAAqACAATQBfAGoAMQAyADQAbQAgACoAIABEAF8AagAxADIANAApACAAKwAgACgATgBfAGoAMwA1ACAAKgAgAE0AXwBqADMANQBtACAAKgAgAEQAXwBqADMANQApACAAKwAgACgATgBfAGoAMwA1ACAAKgAgAE0AUABXAF8AbQBhAG4AdQByAGUAXwBqADMANQAgACoAIABEAFAAVwBfAGoAMwA1ACkAKQAgACoAIAAxADAAIABeACAALQAzAFwAbgAgACAAKQA7AFwAbgBcAG4AXABuAFYARQBFAFIARwBfADQAXwAzAF8AMQBfADEAXwBfADEAXwBUAG8AdABhAGwAQQBuAG4AdQBhAGwATQBlAHQAaABhAG4AZQBGAHIAbwBtAE0AYQBuAHUAcgBlAE0AYQBuAGEAZwBlAG0AZQBuAHQAXwBUAGkAdABsAGUAXABuACAAIAA9AEwAQQBNAEIARABBACgAXAAiAFQAbwB0AGEAbAAgAGEAbgBuAHUAYQBsACAAbQBlAHQAaABhAG4AZQAgAHAAcgBvAGQAdQBjAHQAaQBvAG4AIABmAHIAbwBtACAAbQBhAG4AdQByAGUAIABtAGEAbgBhAGcAZQBtAGUAbgB0AFwAIgApADsAXABuAFwAbgBWAEUARQBSAEcAXwA0AF8AMwBfADEAXwAxAF8AXwAxAF8AVABvAHQAYQBsAEEAbgBuAHUAYQBsAE0AZQB0AGgAYQBuAGUARgByAG8AbQBNAGEAbgB1AHIAZQBNAGEAbgBhAGcAZQBtAGUAbgB0AF8AVgBhAHIAaQBhAGIAbABlAFwAbgAgACAAPQBMAEEATQBCAEQAQQAoAFwAIgBFAF8AQwBIADQAXAAiACkAOwBcAG4AXABuAFYARQBFAFIARwBfADQAXwAzAF8AMQBfADEAXwBfADEAXwBUAG8AdABhAGwAQQBuAG4AdQBhAGwATQBlAHQAaABhAG4AZQBGAHIAbwBtAE0AYQBuAHUAcgBlAE0AYQBuAGEAZwBlAG0AZQBuAHQAXwBVAG4AaQB0AFwAbgAgACAAPQBMAEEATQBCAEQAQQAoAFwAIgB0ACAAQwBIADQAXAAiACkAOwBcAG4AXABuAFYARQBFAFIARwBfADQAXwAzAF8AMQBfADEAXwBfADEAXwBUAG8AdABhAGwAQQBuAG4AdQBhAGwATQBlAHQAaABhAG4AZQBGAHIAbwBtAE0AYQBuAHUAcgBlAE0AYQBuAGEAZwBlAG0AZQBuAHQAXwBTAG8AdQByAGMAZQBcAG4AIAAgAD0ATABBAE0AQgBEAEEAKABcACIAVgBFAEUAUgBHACAAMgAwADIANgA6ACAANAAuADMALgAxAC4AMQAsACAARQBxAHUAYQB0AGkAbwBuACAAKAAxACkAXAAiACkAOwBcAG4AXABuAFYARQBFAFIARwBfADQAXwAzAF8AMQBfADEAXwBfADEAXwBUAG8AdABhAGwAQQBuAG4AdQBhAGwATQBlAHQAaABhAG4AZQBGAHIAbwBtAE0AYQBuAHUAcgBlAE0AYQBuAGEAZwBlAG0AZQBuAHQAXwBOAEkAUgBSAGUAZgBlAHIAZQBuAGMAZQBcAG4AIAAgAD0ATABBAE0AQgBEAEEAKABcACIAXAAiACkAOwBcAG4AXABuAFYARQBFAFIARwBfADQAXwAzAF8AMQBfADEAXwBfADEAXwBUAG8AdABhAGwAQQBuAG4AdQBhAGwATQBlAHQAaABhAG4AZQBGAHIAbwBtAE0AYQBuAHUAcgBlAE0AYQBuAGEAZwBlAG0AZQBuAHQAXwBMAGEAdABlAHgARQBxAHU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CIAKQA7AFwAbgBcAG4AVgBFAEUAUgBHAF8ANABfADMAXwAxAF8AMQBfAF8AMQBfAFQAbwB0AGEAbABBAG4AbgB1AGEAbABNAGUAdABoAGEAbgBlAEYAcgBvAG0ATQBhAG4AdQByAGUATQBhAG4AYQBnAGUAbQBlAG4AdABfAEwAYQB0AGUAeABFAHEAdQBhAHQAaQBvAG4AVgBhAHIAa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QAFcAXwB7AGoAPQAzACwANQB9ACkAKQBcAFwAdABpAG0AZQBzACAAMQAwAF4AewAtADMAfQBcACIAKQA7AFwAbgBcAG4AVgBFAEUAUgBHAF8ANABfADMAXwAxAF8AMQBfAF8AMQBfAFQAbwB0AGEAbABBAG4AbgB1AGEAbABNAGUAdABoAGEAbgBlAEYAcgBvAG0ATQBhAG4AdQByAGUATQBhAG4AYQBnAGUAbQBlAG4AdA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G0AXAAiACwAIABcACIAbQBlAHQAaABhAG4AZQAgAHAAcgBvAGQAdQBjAHQAaQBvAG4AIABmAHIAbwBtACAAbQBhAG4AdQByAGUAIABvAGYAIAB3AGUAYQBuAGUAZAAgAGQAYQBpAHIAeQAgAGMAYQB0AHQAbABlACAAaQBuACAAYwBsAGEAcwBzAGUAcwAgAGoAPQAxACwAMgAsADQAIABpAG4AIABNAE0AUwAgAG0AXAAiACwAIABcACIAawBnACAAQwBIADQALwBoAGUAYQBkAC8AZABhAHkAXAAiACwAIABcACIAQwBhAGwAYwB1AGwAYQB0AGUAZAAgAGYAcgBvAG0AIAA0AC4AMwAuADEALgAxACAAKAAyACkAXAAiADsAXABuACAAIAAgACAAIAAgACAAIAAgACAAXAAiAEQAXwBqADEAMgA0AFwAIgAsACAAXAAiAGQAdQByAGEAdABpAG8AbgAgAG8AZgAgAHMAdABhAHkAIABvAG4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bQBcACIALAAgAFwAIgBtAGUAdABoAGEAbgBlACAAcAByAG8AZAB1AGMAdABpAG8AbgAgAGYAcgBvAG0AIABtAGEAbgB1AHIAZQAgAG8AZgAgAHcAZQBhAG4AZQBkACAAZABhAGkAcgB5ACAAYwBhAHQAdABsAGUAIABpAG4AIABjAGwAYQBzAHMAZQBzACAAagA9ADMALAA1ACAAaQBuACAATQBNAFMAIABtAFwAIgAsACAAXAAiAGsAZwAgAEMASAA0AC8AaABlAGEAZAAvAGQAYQB5AFwAIgAsACAAXAAiAEMAYQBsAGMAdQBsAGEAdABlAGQAIABmAHIAbwBtACAANAAuADMALgAxAC4AMQAgACgAMgApAFwAIgA7AFwAbgAgACAAIAAgACAAIAAgACAAIAAgAFwAIgBEAF8AagAzADUAXAAiACwAIABcACIAZAB1AHIAYQB0AGkAbwBuACAAbwBmACAAcwB0AGEAeQAgAG8AbgAgAGYAYQByAG0AIABmAG8AcgAgAGMAbABhAHMAcwBlAHMAIABqAD0AMwAsADUAXAAiACwAIABcACIAZABhAHkAcwBcACIALAAgAFwAIgBJAG4AcAB1AHQAXAAiADsAXABuACAAIAAgACAAIAAgACAAIAAgACAAXAAiAE0AUABXAF8AbQBhAG4AdQByAGUAXwBqADMANQBcACIALAAgAFwAIgBtAGUAdABoAGEAbgBlACAAcAByAG8AZAB1AGMAdABpAG8AbgAgAGYAcgBvAG0AIABtAGEAbgB1AHIAZQAgAG8AZgAgAHAAcgBlAC0AdwBlAGEAbgBlAGQAIABoAGUAaQBmAGUAcgAgAGEAbgBkACAAYgB1AGwAbAAgAGMAYQBsAHYAZQBzAFwAIgAsACAAXAAiAGsAZwAgAEMASAA0AC8AaABlAGEAZAAvAGQAYQB5AFwAIgAsACAAXAAiAEMAbwBuAHMAdABhAG4AdABcACIAOwBcAG4AIAAgACAAIAAgACAAIAAgACAAIABcACIARABQAFcAXwBqADMANQBcACIALAAgAFwAIgBkAHUAcgBhAHQAaQBvAG4AIABvAGYAIABzAHQAYQB5ACAAbwBuACAAZgBhAHIAbQAgAGYAbwByACAAcAByAGUALQB3AGUAYQBuAGUAZAAgAGgAZQBpAGYAZQByACAAYQBuAGQAIABiAHUAbABsACAAYwBhAGwAdgBlAHMAXAAiACwAIABcACIAZABhAHkAcwBcACIALAAgAFwAIgBJAG4AcAB1AHQAXAAiAFwAbgAgACAAIAAgACAAIAAgACAAfQAsACAAcgAsACAAYwApAFwAbgAgACAAIAAgACAAIAApAFwAbgAgACAAIAAgACkAXABuACAAIAApADsAXABuAFwAbgBWAEUARQBSAEcAXwA0AF8AMwBfADEAXwAxAF8AXwAxAF8AVABvAHQAYQBsAEEAbgBuAHUAYQBsAE0AZQB0AGgAYQBuAGUARgByAG8AbQBNAGEAbgB1AHIAZQBNAGEAbgBhAGcAZQBtAGUAbgB0AF8AVgBhAHIAaQBhAHQAaQBvAG4AXABuACAAIAA9AEwAQQBNAEIARABBACgAXAAiAFYAQQBSAEkAQQBUAEkATwBOADoAIABVAHMAZQBkACAAcwBlAHAAYQByAGEAdABlACAAdgBhAHIAaQBhAGIAbABlACAAZgBvAHIAIABkAHUAcgBhAHQAaQBvAG4AIABvAGYAIABzAHQAYQB5ACAAbwBuACAAZgBhAHIAbQAgAGYAbwByACAAcAByAGUALQB3AGUAYQBuAGUAZAAgAGgAZQBpAGYAZQByACAAYQBuAGQAIABiAHUAbABsACAAYwBhAGwAdgBlAHMALgBcACIAKQA7AFwAbgBcAG4ALwAqAFwAbgAtAC0ALQAtAC0ALQAtAC0ALQAtAC0ALQAtAC0ALQAtAC0ALQAtAC0ALQAtAC0ALQAtAC0ALQAtAC0ALQAtAC0ALQAtAC0ALQAtAC0AXABuAFYARQBFAFIARwBfADQAXwAzAF8AMQBfADEAXwBfADIAXwBNAGUAdABoAGEAbgBlAEYAcgBvAG0ATQBhAG4AdQByAGUAUAByAG8AZAB1AGMAdABpAG8AbgBcAG4ATQBlAHQAaABhAG4AZQAgAGYAcgBvAG0AIABtAGEAbgB1AHIAZQAgAHAAcgBvAGQAdQBjAHQAaQBvAG4AIABmAHIAbwBtACAAdwBlAGEAbgBlAGQAIABkAGEAaQByAHkAIABjAGEAdAB0AGwAZQBcAG4ATQBfAGoAbQBcAG4AawBnACAAQwBIADQALwBoAGUAYQBkAC8AZABhAHkAXABuAE0AXwB7AGoAbQB9AD0AVgBTAF8AagBcAFwAdABpAG0AZQBzACAARgBWAFMAXwB7AGoAbQAsAFQAPQAxAH0AXABcAHQAaQBtAGUAcwAgAE0AQwBGAF8AewBpAG0AfQBcAFwAdABpAG0AZQBzACAAQgBfAG8AXABcAHQAaQBtAGUAcwAgAFwAXAByAGgAbwBcAG4AVgBTAF8AagAgAD0AIABkAGEAaQBsAHkAIAB2AG8AbABhAHQAaQBsAGUAIABzAG8AbABpAGQAcwAgAHAAcgBvAGQAdQBjAHQAaQBvAG4AIABwAGUAcgAgAGgAZQBhAGQAIABmAG8AcgAgAGQAYQBpAHIAeQAgAGMAYQB0AHQAbABlACAAKABrAGcALwBoAGUAYQBkAC8AZABhAHkAKQBcAG4ARgBWAFMAXwBqAG0AVAAxACAAPQAgAGYAcgBhAGMAdABpAG8AbgAgAG8AZgAgAHcAYQBzAHQAZQAgAGYAcgBvAG0AIABlAGEAYwBoACAAYwBsAGEAcwBzACAAaQBuACAAZQBhAGMAaAAgAG0AYQBuAGEAZwBlAG0AZQBuAHQAIABzAHkAcwB0AGUAbQBcAG4ATQBDAEYAXwBpAG0AIAA9ACAAbQBlAHQAaABhAG4AZQAgAGMAbwBuAHYAZQByAHMAaQBvAG4AIABmAGEAYwB0AG8AcgAgAGYAbwByACAAdABlAG0AcABlAHIAYQB0AHUAcgBlACAAegBvAG4AZQAgAGEAbgBkACAATQBNAFMAXABuAEIAXwBvACAAPQAgAGUAbQBpAHMAcwBpAG8AbgBzACAAcABvAHQAZQBuAHQAaQBhAGwAIAAoAG0AMwAgAEMASAA0AC8AawBnAFYAUwApAFwAbgByAGgAbwAgAD0AIABkAGUAbgBzAGkAdAB5ACAAbwBmACAAbQBlAHQAaABhAG4AZQAgACgAawBnAC8AbQAzACkAXABuAC0ALQAtAC0ALQAtAC0ALQAtAC0ALQAtAC0ALQAtAC0ALQAtAC0ALQAtAC0ALQAtAC0ALQAtAC0ALQAtAC0ALQAtAC0ALQAtAC0ALQBcAG4AKgAvAFwAbgBcAG4AVgBFAEUAUgBHAF8ANABfADMAXwAxAF8AMQBfAF8AMgBfAE0AZQB0AGgAYQBuAGUARgByAG8AbQBNAGEAbgB1AHIAZQBQAHIAbwBkAHUAYwB0AGkAbwBuAFwAbgAgACAAPQBMAEEATQBCAEQAQQAoAFwAbgAgACAAIAAgAFYAUwBfAGoALAAgAEYAVgBTAF8AagBtAFQAMQAsACAATQBDAEYAXwBpAG0ALAAgAEIAXwBvACwAIAByAGgAbwAsAFwAbgAgACAAIAAgAFYAUwBfAGoAIAAqACAARgBWAFMAXwBqAG0AVAAxACAAKgAgAE0AQwBGAF8AaQBtACAAKgAgAEIAXwBvACAAKgAgAHIAaABvAFwAbgAgACAAKQA7AFwAbgBcAG4AVgBFAEUAUgBHAF8ANABfADMAXwAxAF8AMQBfAF8AMgBfAE0AZQB0AGgAYQBuAGUARgByAG8AbQBNAGEAbgB1AHIAZQBQAHIAbwBkAHUAYwB0AGkAbwBuAF8AVABpAHQAbABlAFwAbgAgACAAPQBMAEEATQBCAEQAQQAoAFwAIgBNAGUAdABoAGEAbgBlACAAZgByAG8AbQAgAG0AYQBuAHUAcgBlACAAcAByAG8AZAB1AGMAdABpAG8AbgAgAGYAcgBvAG0AIAB3AGUAYQBuAGUAZAAgAGQAYQBpAHIAeQAgAGMAYQB0AHQAbABlAFwAIgApADsAXABuAFwAbgBWAEUARQBSAEcAXwA0AF8AMwBfADEAXwAxAF8AXwAyAF8ATQBlAHQAaABhAG4AZQBGAHIAbwBtAE0AYQBuAHUAcgBlAFAAcgBvAGQAdQBjAHQAaQBvAG4AXwBWAGEAcgBpAGEAYgBsAGUAXABuACAAIAA9AEwAQQBNAEIARABBACgAXAAiAE0AXwBqAG0AXAAiACkAOwBcAG4AXABuAFYARQBFAFIARwBfADQAXwAzAF8AMQBfADEAXwBfADIAXwBNAGUAdABoAGEAbgBlAEYAcgBvAG0ATQBhAG4AdQByAGUAUAByAG8AZAB1AGMAdABpAG8AbgBfAFUAbgBpAHQAXABuACAAIAA9AEwAQQBNAEIARABBACgAXAAiAGsAZwAgAEMASAA0AC8AaABlAGEAZAAvAGQAYQB5AFwAIgApADsAXABuAFwAbgBWAEUARQBSAEcAXwA0AF8AMwBfADEAXwAxAF8AXwAyAF8ATQBlAHQAaABhAG4AZQBGAHIAbwBtAE0AYQBuAHUAcgBlAFAAcgBvAGQAdQBjAHQAaQBvAG4AXwBTAG8AdQByAGMAZQBcAG4AIAAgAD0ATABBAE0AQgBEAEEAKABcACIAVgBFAEUAUgBHACAAMgAwADIANgA6ACAANAAuADMALgAxAC4AMQAsACAARQBxAHUAYQB0AGkAbwBuACAAKAAyACkAXAAiACkAOwBcAG4AXABuAFYARQBFAFIARwBfADQAXwAzAF8AMQBfADEAXwBfADIAXwBNAGUAdABoAGEAbgBlAEYAcgBvAG0ATQBhAG4AdQByAGUAUAByAG8AZAB1AGMAdABpAG8AbgBfAE4ASQBSAFIAZQBmAGUAcgBlAG4AYwBlAFwAbgAgACAAPQBMAEEATQBCAEQAQQAoAFwAIgBcACIAKQA7AFwAbgBcAG4AVgBFAEUAUgBHAF8ANABfADMAXwAxAF8AMQBfAF8AMgBfAE0AZQB0AGgAYQBuAGUARgByAG8AbQBNAGEAbgB1AHIAZQBQAHIAbwBkAHUAYwB0AGkAbwBuAF8ATABhAHQAZQB4AEUAcQB1AGEAdABpAG8AbgBcAG4AIAAgAD0ATABBAE0AQgBEAEEAKABcACIATQBfAHsAagBtAH0APQBWAFMAXwBqAFwAXAB0AGkAbQBlAHMAIABGAFYAUwBfAHsAagBtACwAVAA9ADEAfQBcAFwAdABpAG0AZQBzACAATQBDAEYAXwB7AGkAbQB9AFwAXAB0AGkAbQBlAHMAIABCAF8AbwBcAFwAdABpAG0AZQBzACAAXABcAHIAaABvAFwAIgApADsAXABuAFwAbgBWAEUARQBSAEcAXwA0AF8AMwBfADEAXwAxAF8AXwAyAF8ATQBlAHQAaABhAG4AZQBGAHIAbwBtAE0AYQBuAHUAc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aQBcACIALAAgAFwAIgBzAHQAYQB0AGUAXAAiACwAIABcACIAcwB0AGEAdABlAFwAIgAsACAAXAAiAEkAbgBwAHUAdABcACIAXABuACAAIAAgACAAIAAgACAAIAB9ACwAIAByACwAIABjACkAXABuACAAIAAgACAAIAAgACkAXABuACAAIAAgACAAKQBcAG4AIAAgACkAOwBcAG4AXABuAFYARQBFAFIARwBfADQAXwAzAF8AMQBfADEAXwBfADIAXwBNAGUAdABoAGEAbgBlAEYAcgBvAG0ATQBhAG4AdQBy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AgAFwAIgBkAGEAaQBsAHkAIAB2AG8AbABhAHQAaQBsAGUAIABzAG8AbABpAGQAcwAgAHAAcgBvAGQAdQBjAHQAaQBvAG4AIABwAGUAcgAgAGgAZQBhAGQAIABmAG8AcgAgAGQAYQBpAHIAeQAgAGMAYQB0AHQAbABlACAAKABrAGcALwBoAGUAYQBkAC8AZABhAHkAKQBcACIALAAgAFwAIgBrAGcALwBoAGUAYQBkAC8AZABhAHkAXAAiACwAIABcACIAQwBhAGwAYwB1AGwAYQB0AGUAZAAgAGYAcgBvAG0AIAA0AC4AMwAuADEALgAxACAAKAAzACkAXAAiADsAXABuACAAIAAgACAAIAAgACAAIAAgACAAXAAiAEYAVgBTAF8AagBtAFQAMQBcACIALAAgAFwAIgBmAHIAYQBjAHQAaQBvAG4AIABvAGYAIAB3AGEAcwB0AGUAIABmAHIAbwBtACAAZQBhAGMAaAAgAGMAbABhAHMAcwAgAGkAbgAgAGUAYQBjAGgAIABtAGEAbgBhAGcAZQBtAGUAbgB0ACAAcwB5AHMAdABlAG0AXAAiACwAIABcACIAZgByAGEAYwB0AGkAbwBuAFwAIgAsACAAXAAiAEMAYQBsAGMAdQBsAGEAdABlAGQAIABmAHIAbwBtACAANAAuADMALgAxAC4AMQAgACgANAApACgANQAp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CAF8AbwBcACIALAAgAFwAIgBlAG0AaQBzAHMAaQBvAG4AcwAgAHAAbwB0AGUAbgB0AGkAYQBsACAAKABtADMAIABDAEgANAAvAGsAZwBWAFMAKQBcACIALAAgAFwAIgBtADMAIABDAEgANAAvAGsAZwBWAFMAXAAiACwAIABcACIAQwBvAG4AcwB0AGEAbgB0AFwAIgA7AFwAbgAgACAAIAAgACAAIAAgACAAIAAgAFwAIgByAGgAbwBcACIALAAgAFwAIgBkAGUAbgBzAGkAdAB5ACAAbwBmACAAbQBlAHQAaABhAG4AZQAgACgAawBnAC8AbQAzACkAXAAiACwAIABcACIAawBnAC8AbQAzAFwAIgAsACAAXAAiAEMAbwBuAHMAdABhAG4AdABcACIAOwBcAG4AIAAgACAAIAAgACAAIAAgACAAIABcACIATQBBAFQAXAAiACwAIABcACIATQBlAGEAbgAgAGEAbgBuAHUAYQBsACAAdABlAG0AcABlAHIAYQB0AHUAcgBlAFwAIgAsACAAXAAiALAAQ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MwBfAFYAbwBsAGEAdABpAGwAZQBTAG8AbABpAGQAcwBGAG8AcgBXAGUAYQBuAGUAZABEAGEAaQByAHkAQwBhAHQAdABsAGUAXABuAFYAbwBsAGEAdABpAGwAZQAgAHMAbwBsAGkAZABzACAAZgBvAHIAIAB3AGUAYQBuAGUAZAAgAGQAYQBpAHIAeQAgAGMAYQB0AHQAbABlAFwAbgBWAFMAXwBqAFwAbgBrAGcALwBoAGUAYQBkAC8AZABhAHkAXABuAFYAUwBfAGoAPQAoAEkAXwBqAFwAXAB0AGkAbQBlAHMAIAAoADEALQBEAE0ARABfAGoAKQArACgAMAAuADAANABcAFwAdABpAG0AZQBzACAASQBfAGoAKQApAFwAXAB0AGkAbQBlAHMAIAAoADEALQBBACkAXABuAEkAXwBqACAAPQAgAGQAcgB5ACAAbQBhAHQAdABlAHIAIABmAGUAZQBkACAAaQBuAHQAYQBrAGUAIAAoAGsAZwBEAE0ALwBoAGUAYQBkAC8AZABhAHkAKQBcAG4ARABNAEQAXwBqACAAPQAgAGQAcgB5ACAAbQBhAHQAdABlAHIAIABkAGkAZwBlAHMAdABpAGIAaQBsAGkAdAB5AFwAbgBBACAAPQAgAGEAcwBoACAAYwBvAG4AdABlAG4AdAAgAG8AZgAgAGYAZQBlAGQAIABpAG4AdABhAGsAZQBcAG4ALQAtAC0ALQAtAC0ALQAtAC0ALQAtAC0ALQAtAC0ALQAtAC0ALQAtAC0ALQAtAC0ALQAtAC0ALQAtAC0ALQAtAC0ALQAtAC0ALQAtAFwAbgAqAC8AXABuAFwAbgBWAEUARQBSAEcAXwA0AF8AMwBfADEAXwAxAF8AXwAzAF8AVgBvAGwAYQB0AGkAbABlAFMAbwBsAGkAZABzAEYAbwByAFcAZQBhAG4AZQBkAEQAYQBpAHIAeQBDAGEAdAB0AGwAZQBcAG4AIAAgAD0ATABBAE0AQgBEAEEAKABcAG4AIAAgACAAIABJAF8AagAsACAARABNAEQAXwBqACwAIABBACwAXABuACAAIAAgACAAKABJAF8AagAgACoAIAAoADEAIAAtACAARABNAEQAXwBqACkAIAArACAAKAAwAC4AMAA0ACAAKgAgAEkAXwBqACkAKQAgACoAIAAoADEAIAAtACAAQQApAFwAbgAgACAAKQA7AFwAbgBcAG4AVgBFAEUAUgBHAF8ANABfADMAXwAxAF8AMQBfAF8AMwBfAFYAbwBsAGEAdABpAGwAZQBTAG8AbABpAGQAcwBGAG8AcgBXAGUAYQBuAGUAZABEAGEAaQByAHkAQwBhAHQAdABsAGUAXwBUAGkAdABsAGUAXABuACAAIAA9AEwAQQBNAEIARABBACgAXAAiAFYAbwBsAGEAdABpAGwAZQAgAHMAbwBsAGkAZABzACAAZgBvAHIAIAB3AGUAYQBuAGUAZAAgAGQAYQBpAHIAeQAgAGMAYQB0AHQAbABlAFwAIgApADsAXABuAFwAbgBWAEUARQBSAEcAXwA0AF8AMwBfADEAXwAxAF8AXwAzAF8AVgBvAGwAYQB0AGkAbABlAFMAbwBsAGkAZABzAEYAbwByAFcAZQBhAG4AZQBkAEQAYQBpAHIAeQBDAGEAdAB0AGwAZQBfAFYAYQByAGkAYQBiAGwAZQBcAG4AIAAgAD0ATABBAE0AQgBEAEEAKABcACIAVgBTAF8AagBcACIAKQA7AFwAbgBcAG4AVgBFAEUAUgBHAF8ANABfADMAXwAxAF8AMQBfAF8AMwBfAFYAbwBsAGEAdABpAGwAZQBTAG8AbABpAGQAcwBGAG8AcgBXAGUAYQBuAGUAZABEAGEAaQByAHkAQwBhAHQAdABsAGUAXwBVAG4AaQB0AFwAbgAgACAAPQBMAEEATQBCAEQAQQAoAFwAIgBrAGcALwBoAGUAYQBkAC8AZABhAHkAXAAiACkAOwBcAG4AXABuAFYARQBFAFIARwBfADQAXwAzAF8AMQBfADEAXwBfADMAXwBWAG8AbABhAHQAaQBsAGUAUwBvAGwAaQBkAHMARgBvAHIAVwBlAGEAbgBlAGQARABhAGkAcgB5AEMAYQB0AHQAbABlAF8AUwBvAHUAcgBjAGUAXABuACAAIAA9AEwAQQBNAEIARABBACgAXAAiAFYARQBFAFIARwAgADIAMAAyADYAOgAgADQALgAzAC4AMQAuADEALAAgAEUAcQB1AGEAdABpAG8AbgAgACgAMwApAFwAIgApADsAXABuAFwAbgBWAEUARQBSAEcAXwA0AF8AMwBfADEAXwAxAF8AXwAzAF8AVgBvAGwAYQB0AGkAbABlAFMAbwBsAGkAZABzAEYAbwByAFcAZQBhAG4AZQBkAEQAYQBpAHIAeQBDAGEAdAB0AGwAZQBfAE4ASQBSAFIAZQBmAGUAcgBlAG4AYwBlAFwAbgAgACAAPQBMAEEATQBCAEQAQQAoAFwAIgBcACIAKQA7AFwAbgBcAG4AVgBFAEUAUgBHAF8ANABfADMAXwAxAF8AMQBfAF8AMwBfAFYAbwBsAGEAdABpAGwAZQBTAG8AbABpAGQAcwBGAG8AcgBXAGUAYQBuAGUAZABEAGEAaQByAHkAQwBhAHQAdABsAGUAXwBMAGEAdABlAHgARQBxAHUAYQB0AGkAbwBuAFwAbgAgACAAPQBMAEEATQBCAEQAQQAoAFwAIgBWAFMAXwBqAD0AKABJAF8AagBcAFwAdABpAG0AZQBzACAAKAAxAC0ARABNAEQAXwBqACkAKwAoADAALgAwADQAXABcAHQAaQBtAGUAcwAgAEkAXwBqACkAKQBcAFwAdABpAG0AZQBzACAAKAAxAC0AQQApAFwAIgApADsAXABuAFwAbgBWAEUARQBSAEcAXwA0AF8AMwBfADEAXwAxAF8AXwAzAF8AVgBvAGwAYQB0AGkAbABlAFMAbwBsAGkAZABzAEYAbwByAFcAZQBhAG4AZQBkAEQAYQBpAHIAeQBDAGEAdAB0AGwAZQ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ZgBlAGUAZAAgAGkAbgB0AGEAawBlACAAKABrAGcARABNAC8AaABlAGEAZAAvAGQAYQB5ACkAXAAiACwAIABcACIAawBnAEQATQAvAGgAZQBhAGQALwBkAGEAeQBcACIALAAgAFwAIgBDAGEAbABjAHUAbABhAHQAZQBkACAAZgByAG8AbQAgADMALgAzAC4AMQAuADEAIAAoADMAKQBcACIAOwBcAG4AIAAgACAAIAAgACAAIAAgACAAIABcACIARABNAEQAXwBqAFwAIgAsACAAXAAiAGQAcgB5ACAAbQBhAHQAdABlAHIAIABkAGkAZwBlAHMAdABpAGIAaQBsAGkAdAB5AFwAIgAsACAAXAAiAGYAcgBhAGMAdABpAG8AbgBcACIALAAgAFwAIgBJAG4AcAB1AHQAXAAiADsAXABuACAAIAAgACAAIAAgACAAIAAgACAAXAAiAEEAXAAiACwAIABcACIAYQBzAGgAIABjAG8AbgB0AGUAbgB0ACAAbwBmACAAZgBlAGUAZA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ABfAEYAcgBhAGMAdABpAG8AbgBWAG8AbABhAHQAaQBsAGUAUwBvAGwAaQBkAHMATgBvAHQAUwBvAGwAaQBkAFMAdABvAHIAYQBnAGUAXABuAEYAcgBhAGMAdABpAG8AbgAgAG8AZgAgAHYAbwBsAGEAdABpAGwAZQAgAHMAbwBsAGkAZABzACAAaQBuACAAZQBhAGMAaAAgAHMAeQBzAHQAZQBtACAAbwB0AGgAZQByACAAdABoAGEAbgAgAHMAbwBsAGkAZAAgAHMAdABvAHIAYQBnAGUAXABuAEYAVgBTAF8AagBtAFwAbgBmAHIAYQBjAHQAaQBvAG4AXABuAEYAVgBTAF8AewBqAG0AfQA9AE0ATQBTAF8AewBqAG0AfQBcAFwAdABpAG0AZQBzACAAKAAxAC0AUwBTAF8AbQApAFwAbgBTAFMAXwBtACAAPQAgAGYAcgBhAGMAdABpAG8AbgAgAG8AZgAgAHYAbwBsAGEAdABpAGwAZQAgAHMAbwBsAGkAZABzACAAcwBlAHAAYQByAGEAdABlAGQAIAB0AG8AIABzAG8AbABpAGQAIABzAHQAbwByAGEAZwBlACAAZgBvAHIAIABlAGEAYwBoACAATQBNAFMAXABuAE0ATQBTAF8AagBtACAAPQAgAGYAcgBhAGMAdABpAG8AbgAgAG8AZgAgAG0AYQBuAHUAcgBlACAAdABvACAAZQBhAGMAaAAgAHAAcgBpAG0AYQByAHkAIABNAE0AUwAgAGYAbwByACAAZQBhAGMAaAAgAGMAbABhAHMAcwAgAHAAcgBpAG8AcgAgAHQAbwAgAHMAbwBsAGkAZAAgAHMAZQBwAGEAcgBhAHQAaQBvAG4AXABuAC0ALQAtAC0ALQAtAC0ALQAtAC0ALQAtAC0ALQAtAC0ALQAtAC0ALQAtAC0ALQAtAC0ALQAtAC0ALQAtAC0ALQAtAC0ALQAtAC0ALQBcAG4AKgAvAFwAbgBcAG4AVgBFAEUAUgBHAF8ANABfADMAXwAxAF8AMQBfAF8ANABfAEYAcgBhAGMAdABpAG8AbgBWAG8AbABhAHQAaQBsAGUAUwBvAGwAaQBkAHMATgBvAHQAUwBvAGwAaQBkAFMAdABvAHIAYQBnAGUAXABuACAAIAA9AEwAQQBNAEIARABBACgAXABuACAAIAAgACAATQBNAFMAXwBqAG0ALAAgAFMAUwBfAG0ALABcAG4AIAAgACAAIABNAE0AUwBfAGoAbQAgACoAIAAoADEAIAAtACAAUwBTAF8AbQApAFwAbgAgACAAKQA7AFwAbgBcAG4AVgBFAEUAUgBHAF8ANABfADMAXwAxAF8AMQBfAF8ANABfAEYAcgBhAGMAdABpAG8AbgBWAG8AbABhAHQAaQBsAGUAUwBvAGwAaQBkAHMATgBvAHQAUwBvAGwAaQBkAFMAdABvAHIAYQBnAGUAXwBUAGkAdABsAGUAXABuACAAIAA9AEwAQQBNAEIARABBACgAXAAiAEYAcgBhAGMAdABpAG8AbgAgAG8AZgAgAHYAbwBsAGEAdABpAGwAZQAgAHMAbwBsAGkAZABzACAAaQBuACAAZQBhAGMAaAAgAHMAeQBzAHQAZQBtACAAbwB0AGgAZQByACAAdABoAGEAbgAgAHMAbwBsAGkAZAAgAHMAdABvAHIAYQBnAGUAXAAiACkAOwBcAG4AXABuAFYARQBFAFIARwBfADQAXwAzAF8AMQBfADEAXwBfADQAXwBGAHIAYQBjAHQAaQBvAG4AVgBvAGwAYQB0AGkAbABlAFMAbwBsAGkAZABzAE4AbwB0AFMAbwBsAGkAZABTAHQAbwByAGEAZwBlAF8AVgBhAHIAaQBhAGIAbABlAFwAbgAgACAAPQBMAEEATQBCAEQAQQAoAFwAIgBGAFYAUwBfAGoAbQBcACIAKQA7AFwAbgBcAG4AVgBFAEUAUgBHAF8ANABfADMAXwAxAF8AMQBfAF8ANABfAEYAcgBhAGMAdABpAG8AbgBWAG8AbABhAHQAaQBsAGUAUwBvAGwAaQBkAHMATgBvAHQAUwBvAGwAaQBkAFMAdABvAHIAYQBnAGUAXwBVAG4AaQB0AFwAbgAgACAAPQBMAEEATQBCAEQAQQAoAFwAIgBmAHIAYQBjAHQAaQBvAG4AXAAiACkAOwBcAG4AXABuAFYARQBFAFIARwBfADQAXwAzAF8AMQBfADEAXwBfADQAXwBGAHIAYQBjAHQAaQBvAG4AVgBvAGwAYQB0AGkAbABlAFMAbwBsAGkAZABzAE4AbwB0AFMAbwBsAGkAZABTAHQAbwByAGEAZwBlAF8AUwBvAHUAcgBjAGUAXABuACAAIAA9AEwAQQBNAEIARABBACgAXAAiAFYARQBFAFIARwAgADIAMAAyADYAOgAgADQALgAzAC4AMQAuADEALAAgAEUAcQB1AGEAdABpAG8AbgAgACgANAApAFwAIgApADsAXABuAFwAbgBWAEUARQBSAEcAXwA0AF8AMwBfADEAXwAxAF8AXwA0AF8ARgByAGEAYwB0AGkAbwBuAFYAbwBsAGEAdABpAGwAZQBTAG8AbABpAGQAcwBOAG8AdABTAG8AbABpAGQAUwB0AG8AcgBhAGcAZQBfAE4ASQBSAFIAZQBmAGUAcgBlAG4AYwBlAFwAbgAgACAAPQBMAEEATQBCAEQAQQAoAFwAIgBcACIAKQA7AFwAbgBcAG4AVgBFAEUAUgBHAF8ANABfADMAXwAxAF8AMQBfAF8ANABfAEYAcgBhAGMAdABpAG8AbgBWAG8AbABhAHQAaQBsAGUAUwBvAGwAaQBkAHMATgBvAHQAUwBvAGwAaQBkAFMAdABvAHIAYQBnAGUAXwBMAGEAdABlAHgARQBxAHUAYQB0AGkAbwBuAFwAbgAgACAAPQBMAEEATQBCAEQAQQAoAFwAIgBGAFYAUwBfAHsAagBtAH0APQBNAE0AUwBfAHsAagBtAH0AXABcAHQAaQBtAGUAcwAgACgAMQAtAFMAUwBfAG0AKQBcACIAKQA7AFwAbgBcAG4AVgBFAEUAUgBHAF8ANABfADMAXwAxAF8AMQBfAF8ANABfAEYAcgBhAGMAdABpAG8AbgBWAG8AbABhAHQAaQBsAGUAUwBvAGwAaQBkAHMATgBvAHQAUwBvAGwAaQBkAFMAdABvAHIAYQBnAGUAXwBBAHIAZwB1AG0AZQBuAHQAcwBcAG4AIAAgAD0ATABBAE0AQgBEAEEAKABcAG4AIAAgACAAIABNAEEASwBFAEEAUgBSAEEAWQAoADIALAAgADQALABcAG4AIAAgACAAIAAgACAATABBAE0AQgBEAEEAKAByACwAYwAsAFwAbgAgACAAIAAgACAAIAAgACAASQBOAEQARQBYACgAewBcAG4AIAAgACAAIAAgACAAIAAgACAAIABcACIATQBNAFMAXwBqAG0AXAAiACwAIABcACIAZgByAGEAYwB0AGkAbwBuACAAbwBmACAAbQBhAG4AdQByAGUAIAB0AG8AIABlAGEAYwBoACAAcAByAGkAbQBhAHIAeQAgAE0ATQBTACAAZgBvAHIAIABlAGEAYwBoACAAYwBsAGEAcwBzACAAcAByAGkAbwByACAAdABvACAAcwBvAGwAaQBkACAAcwBlAHAAYQByAGEAdABpAG8Ab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1AF8ARgByAGEAYwB0AGkAbwBuAFYAbwBsAGEAdABpAGwAZQBTAG8AbABpAGQAcwBTAG8AbABpAGQAUwB0AG8AcgBhAGcAZQBcAG4ARgByAGEAYwB0AGkAbwBuACAAbwBmACAAdgBvAGwAYQB0AGkAbABlACAAcwBvAGwAaQBkAHMAIABpAG4AIABzAG8AbABpAGQAIABzAHQAbwByAGEAZwBlAFwAbgBGAFYAUwBfAGoAbQA0AFwAbgBmAHIAYQBjAHQAaQBvAG4AXABuAEYAVgBTAF8AewBqAG0APQA0AH0APQBNAE0AUwBfAHsAagBtAD0ANAB9ACsAKABNAE0AUwBfAHsAagBtAD0AMQAsADcALAA5AH0AXABcAHQAaQBtAGUAcwAgAFMAUwBfAG0AKQBcAG4ATQBNAFMAXwBqAG0ANAAgAD0AIABmAHIAYQBjAHQAaQBvAG4AIABvAGYAIAB2AG8AbABhAHQAaQBsAGUAIABzAG8AbABpAGQAcwAgAGkAbgAgAHMAbwBsAGkAZAAgAHMAdABvAHIAYQBnAGUAIABiAGUAZgBvAHIAZQAgAHQAcgBhAG4AcwBmAGUAcgBcAG4ATQBNAFMAXwBqAG0AMQA3ADkAIAA9ACAAZgByAGEAYwB0AGkAbwBuACAAbwBmACAAdgBvAGwAYQB0AGkAbABlACAAcwBvAGwAaQBkAHMAIABpAG4AIABNAE0AUwAgAG0APQAxACwANwAsADkAIABiAGUAZgBvAHIAZQAgAHQAcgBhAG4AcwBmAGUAcgBcAG4AUwBTAF8AbQAgAD0AIABmAHIAYQBjAHQAaQBvAG4AIABvAGYAIAB2AG8AbABhAHQAaQBsAGUAIABzAG8AbABpAGQAcwAgAHMAZQBwAGEAcgBhAHQAZQBkACAAdABvACAAcwBvAGwAaQBkACAAcwB0AG8AcgBhAGcAZQAgAGYAbwByACAAZQBhAGMAaAAgAE0ATQBTAFwAbgAtAC0ALQAtAC0ALQAtAC0ALQAtAC0ALQAtAC0ALQAtAC0ALQAtAC0ALQAtAC0ALQAtAC0ALQAtAC0ALQAtAC0ALQAtAC0ALQAtAC0AXABuACoALwBcAG4AXABuAFYARQBFAFIARwBfADQAXwAzAF8AMQBfADEAXwBfADUAXwBGAHIAYQBjAHQAaQBvAG4AVgBvAGwAYQB0AGkAbABlAFMAbwBsAGkAZABzAFMAbwBsAGkAZABTAHQAbwByAGEAZwBlAFwAbgAgACAAPQBMAEEATQBCAEQAQQAoAFwAbgAgACAAIAAgAE0ATQBTAF8AagBtADQALAAgAE0ATQBTAF8AagBtADEANwA5ACwAIABTAFMAXwBtACwAXABuACAAIAAgACAATQBNAFMAXwBqAG0ANAAgACsAIAAoAE0ATQBTAF8AagBtADEANwA5ACAAKgAgAFMAUwBfAG0AKQBcAG4AIAAgACkAOwBcAG4AXABuAFYARQBFAFIARwBfADQAXwAzAF8AMQBfADEAXwBfADUAXwBGAHIAYQBjAHQAaQBvAG4AVgBvAGwAYQB0AGkAbABlAFMAbwBsAGkAZABzAFMAbwBsAGkAZABTAHQAbwByAGEAZwBlAFYAYQByAGkAYQB0AGkAbwBuAFwAbgAgACAAPQBMAEEATQBCAEQAQQAoAFwAbgAgACAAIAAgAE0ATQBTAF8AagBtADQALAAgAE0ATQBTAF8AagBtADEALAAgAE0ATQBTAF8AagBtADcALAAgAE0ATQBTAF8AagBtADkALAAgAFMAUwBfAG0AMQAsACAAUwBTAF8AbQA3ACwAIABTAFMAXwBtADkALABcAG4AIAAgACAAIABNAE0AUwBfAGoAbQA0ACAAKwAgACgATQBNAFMAXwBqAG0AMQAgACoAIABTAFMAXwBtADEAKQAgACsAIAAoAE0ATQBTAF8AagBtADcAIAAqACAAUwBTAF8AbQA3ACkAIAArACAAKABNAE0AUwBfAGoAbQA5ACAAKgAgAFMAUwBfAG0AOQApAFwAbgAgACAAKQA7AFwAbgBcAG4AXABuAFYARQBFAFIARwBfADQAXwAz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zAF8AMQBfADEAXwBfADUAXwBGAHIAYQBjAHQAaQBvAG4AVgBvAGwAYQB0AGkAbABlAFMAbwBsAGkAZABzAFMAbwBsAGkAZABTAHQAbwByAGEAZwBlAF8AVgBhAHIAaQBhAGIAbABlAFwAbgAgACAAPQBMAEEATQBCAEQAQQAoAFwAIgBGAFYAUwBfAGoAbQA0AFwAIgApADsAXABuAFwAbgBWAEUARQBSAEcAXwA0AF8AMwBfADEAXwAxAF8AXwA1AF8ARgByAGEAYwB0AGkAbwBuAFYAbwBsAGEAdABpAGwAZQBTAG8AbABpAGQAcwBTAG8AbABpAGQAUwB0AG8AcgBhAGcAZQBfAFUAbgBpAHQAXABuACAAIAA9AEwAQQBNAEIARABBACgAXAAiAGYAcgBhAGMAdABpAG8AbgBcACIAKQA7AFwAbgBcAG4AVgBFAEUAUgBHAF8ANABfADMAXwAxAF8AMQBfAF8ANQBfAEYAcgBhAGMAdABpAG8AbgBWAG8AbABhAHQAaQBsAGUAUwBvAGwAaQBkAHMAUwBvAGwAaQBkAFMAdABvAHIAYQBnAGUAXwBTAG8AdQByAGMAZQBcAG4AIAAgAD0ATABBAE0AQgBEAEEAKABcACIAVgBFAEUAUgBHACAAMgAwADIANgA6ACAANAAuADMALgAxAC4AMQAsACAARQBxAHUAYQB0AGkAbwBuACAAKAA1ACkAXAAiACkAOwBcAG4AXABuAFYARQBFAFIARwBfADQAXwAzAF8AMQBfADEAXwBfADUAXwBGAHIAYQBjAHQAaQBvAG4AVgBvAGwAYQB0AGkAbABlAFMAbwBsAGkAZABzAFMAbwBsAGkAZABTAHQAbwByAGEAZwBlAF8ATgBJAFIAUgBlAGYAZQByAGUAbgBjAGUAXABuACAAIAA9AEwAQQBNAEIARABBACgAXAAiAFwAIgApADsAXABuAFwAbgBWAEUARQBSAEcAXwA0AF8AMwBfADEAXwAxAF8AXwA1AF8ARgByAGEAYwB0AGkAbwBuAFYAbwBsAGEAdABpAGwAZQBTAG8AbABpAGQAcwBTAG8AbABpAGQAUwB0AG8AcgBhAGcAZQBfAEwAYQB0AGUAeABFAHEAdQBhAHQAaQBvAG4AXABuACAAIAA9AEwAQQBNAEIARABBACgAXAAiAEYAVgBTAF8AewBqAG0APQA0AH0APQBNAE0AUwBfAHsAagBtAD0ANAB9ACsAKABNAE0AUwBfAHsAagBtAD0AMQAsADcALAA5AH0AXABcAHQAaQBtAGUAcwAgAFMAUwBfAG0AKQBcACIAKQA7AFwAbgBcAG4AVgBFAEUAUgBHAF8ANABfADMAXwAxAF8AMQBfAF8ANQBfAEYAcgBhAGMAdABpAG8AbgBWAG8AbABhAHQAaQBsAGUAUwBvAGwAaQBkAHMAUwBvAGwAaQBkAFMAdABvAHIAYQBnAGUAXwBMAGEAdABlAHgARQBxAHUAYQB0AGkAbwBuAFYAYQByAGkAYQB0AGkAbwBuAFwAbgAgACAAPQBMAEEATQBCAEQAQQAoAFwAIgBGAFYAUwBfAHsAagBtAD0ANAB9AD0ATQBNAFMAXwB7AGoAbQA9ADQAfQArACgATQBNAFMAXwB7AGoAbQA9ADEAfQBcAFwAdABpAG0AZQBzACAAUwBTAF8AewBtAD0AMQB9ACkAKwAoAE0ATQBTAF8AewBqAG0APQA3AH0AXABcAHQAaQBtAGUAcwAgAFMAUwBfAHsAbQA9ADcAfQApACsAKABNAE0AUwBfAHsAagBtAD0AOQB9AFwAXAB0AGkAbQBlAHMAIABTAFMAXwB7AG0APQA5AH0AKQBcACIAKQA7AFwAbgBcAG4AVgBFAEUAUgBHAF8ANABfADM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XwBqAG0ANABcACIALAAgAFwAIgBmAHIAYQBjAHQAaQBvAG4AIABvAGYAIAB2AG8AbABhAHQAaQBsAGUAIABzAG8AbABpAGQAcwAgAGkAbgAgAHMAbwBsAGkAZAAgAHMAdABvAHIAYQBnAGUAIABiAGUAZgBvAHIAZQAgAHQAcgBhAG4AcwBmAGUAcgBcACIALAAgAFwAIgBmAHIAYQBjAHQAaQBvAG4AXAAiACwAIABcACIASQBuAHAAdQB0AFwAIgA7AFwAbgAgACAAIAAgACAAIAAgACAAIAAgAFwAIgBNAE0AUwBfAGoAbQAxADcAOQBcACIALAAgAFwAIgBmAHIAYQBjAHQAaQBvAG4AIABvAGYAIAB2AG8AbABhAHQAaQBsAGUAIABzAG8AbABpAGQAcwAgAGkAbgAgAE0ATQBTACAAbQA9ADEALAA3ACwAOQAgAGIAZQBmAG8AcgBlACAAdAByAGEAbgBzAGYAZQBy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MAXwAxAF8AMQBfAF8ANQBfAEYAcgBhAGMAdABpAG8AbgBWAG8AbABhAHQAaQBsAGUAUwBvAGwAaQBkAHMAUwBvAGwAaQBkAFMAdABvAHIAYQBnAGUAXwBWAGEAcgBpAGEAdABpAG8AbgBcAG4AIAAgAD0ATABBAE0AQgBEAEEAKABcACIAVQBzAGUAZAAgAHMAZQBwAGEAcgBhAHQAZQAgAHYAYQByAGkAYQBiAGwAZQBzACAAZgBvAHIAIABNAE0AUwAgAGEAbgBkACAAUwBTACAAbQAgADEALAAgADcAIABhAG4AZAAgADkALgBcACIAKQA7AFwAbgBcAG4AIgB9ACwAewAiAHAAYQB0AGgAIgA6ACIALwBwAHIAbwBqAGUAYwB0AHMALwBNAE0AUwBfAEQAYQBp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MAIABNAGUAdABoAG8AZAAgADEAIAAtACAATQBhAG4AdQByAGU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NAE4AXwB7AGoAbQB9AFwAXAB0AGkAbQBlAHMAIABFAEYAXwBtAFwAXAB0AGkAbQBlAHMAIABDAF8AewBOADIATwB9AFwAXAB0AGkAbQBlAHMAIAAxADAAXgB7AC0AMwB9AFwAbgBNAE4AXwBqAG0AIAA9ACAAdABvAHQAYQBsACAAbgBpAHQAcgBvAGcAZQBuACAAaQBuACAAZQBhAGMAaAAgAE0ATQBTACAAZgBvAHIAIABkAGEAaQByAHkAIABjAGEAdAB0AGwAZQAgAGMAbABhAHMAcwBlAHMAIAAoAGsAZwAgAE4AKQBcAG4ARQBGAF8AbQAgAD0AIABuAGkAdAByAG8AdQBzACAAbwB4AGkAZABlACAAZQBtAGkAcwBzAGkAbwBuACAAZgBhAGMAdABvAHIAIABmAG8AcgAgAGUAYQBjAGgAIABNAE0AUw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zAF8AXwAxAF8AVABvAHQAYQBsAEEAbgBuAHUAYQBsAEQAaQByAGUAYwB0AE4AaQB0AHIAbwB1AHMATwB4AGkAZABlAEUAbQBpAHMAcwBpAG8AbgBzAEYAcgBvAG0ATQBNAFMAXABuACAAIAA9AEwAQQBNAEIARABBACgAXABuACAAIAAgACAATQBOAF8AagBtACwAIABFAEYAXwBtACwAIABDAF8ATgAyAE8ALABcAG4AIAAgACAAIABNAE4AXwBqAG0AIAAqACAARQBGAF8AbQAgACoAIABDAF8ATgAyAE8AIAAqACAAMQAwACAAXgAgAC0AMwBcAG4AIAAgACkAOwBcAG4AXABuAFYARQBFAFIARwBfADQAXwAz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wBfADEAXwAzAF8AXwAxAF8AVABvAHQAYQBsAEEAbgBuAHUAYQBsAEQAaQByAGUAYwB0AE4AaQB0AHIAbwB1AHMATwB4AGkAZABlAEUAbQBpAHMAcwBpAG8AbgBzAEYAcgBvAG0ATQBNAFMAXwBWAGEAcgBpAGEAYgBsAGUAXABuACAAIAA9AEwAQQBNAEIARABBACgAXAAiAEUAXwBOADIATwBkAGkAcgBcACIAKQA7AFwAbgBcAG4AVgBFAEUAUgBHAF8ANABfADMAXwAxAF8AMwBfAF8AMQBfAFQAbwB0AGEAbABBAG4AbgB1AGEAbABEAGkAcgBlAGMAdABOAGkAdAByAG8AdQBzAE8AeABpAGQAZQBFAG0AaQBzAHMAaQBvAG4AcwBGAHIAbwBtAE0ATQBTAF8AVQBuAGkAdABcAG4AIAAgAD0ATABBAE0AQgBEAEEAKABcACIAdAAgAE4AMgBPAFwAIgApADsAXABuAFwAbgBWAEUARQBSAEcAXwA0AF8AMwBfADEAXwAzAF8AXwAxAF8AVABvAHQAYQBsAEEAbgBuAHUAYQBsAEQAaQByAGUAYwB0AE4AaQB0AHIAbwB1AHMATwB4AGkAZABlAEUAbQBpAHMAcwBpAG8AbgBzAEYAcgBvAG0ATQBNAFMAXwBTAG8AdQByAGMAZQBcAG4AIAAgAD0ATABBAE0AQgBEAEEAKABcACIAVgBFAEUAUgBHACAAMgAwADIANgA6ACAANAAuADMALgAxAC4AMwAsACAARQBxAHUAYQB0AGkAbwBuACAAKAAxACkAXAAiACkAOwBcAG4AXABuAFYARQBFAFIARwBfADQAXwAzAF8AMQBfADMAXwBfADEAXwBUAG8AdABhAGwAQQBuAG4AdQBhAGwARABpAHIAZQBjAHQATgBpAHQAcgBvAHUAcwBPAHgAaQBkAGUARQBtAGkAcwBzAGkAbwBuAHMARgByAG8AbQBNAE0AUwBfAE4ASQBSAFIAZQBmAGUAcgBlAG4AYwBlAFwAbgAgACAAPQBMAEEATQBCAEQAQQAoAFwAIgBcACIAKQA7AFwAbgBcAG4AVgBFAEUAUgBHAF8ANABfADMAXwAxAF8AMwBfAF8AMQBfAFQAbwB0AGEAbABBAG4AbgB1AGEAbABEAGkAcgBlAGMAdABOAGkAdAByAG8AdQBzAE8AeABpAGQAZQBFAG0AaQBzAHMAaQBvAG4AcwBGAHIAbwBtAE0ATQBTAF8ATABhAHQAZQB4AEUAcQB1AGEAdABpAG8AbgBcAG4AIAAgAD0ATABBAE0AQgBEAEEAKABcACIARQBfAHsATgAyAE8ALABkAGkAcgB9AD0AXABcAHMAdQBtAFwAXABuAG8AbABpAG0AaQB0AHMAXwB7AGoAfQBcAFwAcwB1AG0AXABcAG4AbwBsAGkAbQBpAHQAcwBfAHsAbQB9ACgATQBOAF8AewBqAG0AfQBcAFwAdABpAG0AZQBzACAARQBGAF8AbQBcAFwAdABpAG0AZQBzACAAQwBfAHsATgAyAE8AfQBcAFwAdABpAG0AZQBzACAAMQAwAF4AewAtADMAfQApAFwAIgApADsAXABuAFwAbgBWAEUARQBSAEcAXwA0AF8AMwBfADEAXwAzAF8AXwAxAF8AVABvAHQAYQBsAEEAbgBuAHUAYQBsAEQAaQByAGUAYwB0AE4AaQB0AHIAbwB1AHMATwB4AGkAZABlAEUAbQBpAHMAcwBpAG8AbgBzAEYAcgBvAG0ATQBNAFMAXwBBAHIAZwB1AG0AZQBuAHQAcwBcAG4AIAAgAD0ATABBAE0AQgBEAEEAKABcAG4AIAAgACAAIABNAEEASwBFAEEAUgBSAEEAWQAoADM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bgBpAHQAcgBvAHUAcwAgAG8AeABpAGQAZQAgAGUAbQBpAHMAcwBpAG8AbgAgAGYAYQBjAHQAbwByACAAZgBvAHIAIABlAGEAYwBoACAATQBNAFMAIAAoAGsAZwAgAE4AMgBPAC0ATgAvAGsAZwAgAE4AIABkAGUAcABvAHMAaQB0AGUAZAAp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yAF8AVABvAHQAYQBsAE4AaQB0AHIAbwBnAGUAbgBJAG4ARQBhAGMAaABNAE0AUwBcAG4AVABvAHQAYQBsACAAbgBpAHQAcgBvAGcAZQBuACAAaQBuACAAZQBhAGMAaAAgAE0ATQBTAFwAbgBNAE4AXwBqAG0AXABuAGsAZwAgAE4AXABuAE0ATgBfAHsAagBtAH0APQBBAEUAXwBqAFwAXAB0AGkAbQBlAHMAIABNAE0AUwBfAHsAagBtAH0AXABuAEEARQBfAGoAIAA9ACAAdABvAHQAYQBsACAAbgBpAHQAcgBvAGcAZQBuACAAZQB4AGMAcgBlAHQAZQBkACAAYgB5ACAAZQBhAGMAaAAgAGQAYQBpAHIAeQAgAGMAbABhAHMAcwAgACgAawBnACAATgApAFwAbgBNAE0AUwBfAGoAbQAgAD0AIABtAGEAbgB1AHIAZQAgAG0AYQBuAGEAZwBlAG0AZQBuAHQAIABzAHkAcwB0AGUAbQAgAGYAcgBhAGMAdABpAG8AbgAgAGYAbwByACAAYwBsAGEAcwBzACAAagAgAGEAbgBkACAAcwB5AHMAdABlAG0AIABtAFwAbgAtAC0ALQAtAC0ALQAtAC0ALQAtAC0ALQAtAC0ALQAtAC0ALQAtAC0ALQAtAC0ALQAtAC0ALQAtAC0ALQAtAC0ALQAtAC0ALQAtAC0AXABuACoALwBcAG4AXABuAFYARQBFAFIARwBfADQAXwAzAF8AMQBfADMAXwBfADIAXwBUAG8AdABhAGwATgBpAHQAcgBvAGcAZQBuAEkAbgBFAGEAYwBoAE0ATQBTAFwAbgAgACAAPQBMAEEATQBCAEQAQQAoAFwAbgAgACAAIAAgAEEARQBfAGoALAAgAE0ATQBTAF8AagBtACwAXABuACAAIAAgACAAQQBFAF8AagAgACoAIABNAE0AUwBfAGoAbQBcAG4AIAAgACkAOwBcAG4AXABuAFYARQBFAFIARwBfADQAXwAzAF8AMQBfADMAXwBfADIAXwBUAG8AdABhAGwATgBpAHQAcgBvAGcAZQBuAEkAbgBFAGEAYwBoAE0ATQBTAF8AVABpAHQAbABlAFwAbgAgACAAPQBMAEEATQBCAEQAQQAoAFwAIgBUAG8AdABhAGwAIABuAGkAdAByAG8AZwBlAG4AIABpAG4AIABlAGEAYwBoACAATQBNAFMAXAAiACkAOwBcAG4AXABuAFYARQBFAFIARwBfADQAXwAzAF8AMQBfADMAXwBfADIAXwBUAG8AdABhAGwATgBpAHQAcgBvAGcAZQBuAEkAbgBFAGEAYwBoAE0ATQBTAF8AVgBhAHIAaQBhAGIAbABlAFwAbgAgACAAPQBMAEEATQBCAEQAQQAoAFwAIgBNAE4AXwBqAG0AXAAiACkAOwBcAG4AXABuAFYARQBFAFIARwBfADQAXwAzAF8AMQBfADMAXwBfADIAXwBUAG8AdABhAGwATgBpAHQAcgBvAGcAZQBuAEkAbgBFAGEAYwBoAE0ATQBTAF8AVQBuAGkAdABcAG4AIAAgAD0ATABBAE0AQgBEAEEAKABcACIAawBnACAATgBcACIAKQA7AFwAbgBcAG4AVgBFAEUAUgBHAF8ANABfADMAXwAxAF8AMwBfAF8AMgBfAFQAbwB0AGEAbABOAGkAdAByAG8AZwBlAG4ASQBuAEUAYQBjAGgATQBNAFMAXwBTAG8AdQByAGMAZQBcAG4AIAAgAD0ATABBAE0AQgBEAEEAKABcACIAVgBFAEUAUgBHACAAMgAwADIANgA6ACAANAAuADMALgAxAC4AMwAsACAARQBxAHUAYQB0AGkAbwBuACAAKAAyACkAXAAiACkAOwBcAG4AXABuAFYARQBFAFIARwBfADQAXwAzAF8AMQBfADMAXwBfADIAXwBUAG8AdABhAGwATgBpAHQAcgBvAGcAZQBuAEkAbgBFAGEAYwBoAE0ATQBTAF8ATgBJAFIAUgBlAGYAZQByAGUAbgBjAGUAXABuACAAIAA9AEwAQQBNAEIARABBACgAXAAiAFwAIgApADsAXABuAFwAbgBWAEUARQBSAEcAXwA0AF8AMwBfADEAXwAzAF8AXwAyAF8AVABvAHQAYQBsAE4AaQB0AHIAbwBnAGUAbgBJAG4ARQBhAGMAaABNAE0AUwBfAEwAYQB0AGUAeABFAHEAdQBhAHQAaQBvAG4AXABuACAAIAA9AEwAQQBNAEIARABBACgAXAAiAE0ATgBfAHsAagBtAH0APQBBAEUAXwBqAFwAXAB0AGkAbQBlAHMAIABNAE0AUwBfAHsAagBtAH0AXAAiACkAOwBcAG4AXABuAFYARQBFAFIARwBfADQAXwAzAF8AMQBfADMAXwBfADIAXwBUAG8AdABhAGwATgBpAHQAcgBvAGcAZQBuAEkAbgBFAGEAYwBoAE0ATQBTAF8AQQByAGcAdQBtAGUAbgB0AHMAXABuACAAIAA9AEwAQQBNAEIARABBACgAXABuACAAIAAgACAATQBBAEsARQBBAFIAUgBBAFkAKAAyACwAIAA0ACwAXABuACAAIAAgACAAIAAgAEwAQQBNAEIARABBACgAcgAsAGMALABcAG4AIAAgACAAIAAgACAAIAAgAEkATgBEAEUAWAAoAHsAXABuACAAIAAgACAAIAAgACAAIAAgACAAXAAiAEEARQBfAGoAXAAiACwAIABcACIAdABvAHQAYQBsACAAbgBpAHQAcgBvAGcAZQBuACAAZQB4AGMAcgBlAHQAZQBkACAAYgB5ACAAZQBhAGMAaAAgAGQAYQBpAHIAeQAgAGMAbABhAHMAcwBcACIALAAgAFwAIgBrAGcAIABOAFwAIgAsACAAXAAiAEMAYQBsAGMAdQBsAGEAdABlAGQAIABmAHIAbwBtACAANAAuADMALgAxAC4AMwAgACgAMwBhACkAIABhAG4AZAAgACgAMwBiACkAXAAiADsAXABuACAAIAAgACAAIAAgACAAIAAgACAAXAAiAE0ATQBTAF8AagBtAFwAIgAsACAAXAAiAG0AYQBuAHUAcgBlACAAbQBhAG4AYQBnAGUAbQBlAG4AdAAgAHMAeQBzAHQAZQBtACAAZgByAGEAYwB0AGkAbwBuACAAZgBvAHIAIABjAGwAYQBzAHMAIABqACAAYQBuAGQAIABzAHkAcwB0AGUAbQAg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zAGEAXwBUAG8AdABhAGwAQQBuAG4AdQBhAGwATgBpAHQAcgBvAGcAZQBuAEUAeABjAHIAZQB0AGUAZABHAHIAZQBhAHQAZQByAFQAaABhAG4ATwBuAGUAWQBlAGEAcgBcAG4AVABvAHQAYQBsACAAYQBuAG4AdQBhAGwAIABuAGkAdAByAG8AZwBlAG4AIABlAHgAYwByAGUAdABlAGQAIABiAHkAIABkAGEAaQByAHkAIABjAGEAdAB0AGwAZQAgAFwAdQAwADAAMwBl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FwAdQAwADAAMwBl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BcAHUAMAAwADMAYwAxACAAeQBlAGEAcgAgAG8AbABkAFwAbgBBAEUAXwBqADMANQBcAG4AawBnACAATgBcAG4AQQBFAF8AewBqAD0AMwAsADUAfQA9ACgATgBfAHsAagA9ADMALAA1AH0AXABcAHQAaQBtAGUAcwAgAE4ARQBfAHsAagA9ADMALAA1AH0AXABcAHQAaQBtAGUAcwAgADIAOAAxACkAKwAoAE4AXwB7AGoAPQAzACwANQB9AFwAXAB0AGkAbQBlAHMAIABOAFAAVwBfAHsAagA9ADMALAA1AH0AXABcAHQAaQBtAGUAcwAgADgANAApAFwAbgBOAF8AagAzADUAIAA9ACAAbgB1AG0AYgBlAHIAIABvAGYAIABkAGEAaQByAHkAIABjAGEAdAB0AGwAZQAgAGkAbgAgAGMAbABhAHMAcwBlAHMAIABqAD0AMwAsADUAXABuAE4ARQBfAGoAMwA1ACAAPQAgAG4AaQB0AHIAbwBnAGUAbgAgAGUAeABjAHIAZQB0AGUAZAAgAGIAeQAgAHcAZQBhAG4AZQBkACAAZABhAGkAcgB5ACAAYwBhAHQAdABsAGUAIABcAHUAMAAwADMAYw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wAC4AMAAzADIAIAAqACAATQBQAF8AagAgACoAIAAxAC4AMAAzACkAIAAvACAANgAuADMAOAApACAAKwAgACgAKAAwAC4AMgAxADIAIAAtACAAMAAuADAAMAA4ACAAKgAgACgATABfAGoAIAAtACAAMgApACAALQAgACgAKAAwAC4AMQA0ADAAIAAtACAAMAAuADAAMAA4ACAAKgAgACgATABfAGoAIAAtACAAMgApACkAIAAvACAAKAAxACAAKwAgAEUAWABQACgALQA2ACAAKgAgACgAWgBfAGoAIAAtACAAMAAuADQAKQApACkAKQApACAAKgAgACgATABXAEcAXwBqACAAKgAgADAALgA5ADI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fAHMAYwBvAHAAZQ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OABfAF8AMgBfAE0AYQBzAHMATwBmAE4AaQB0AHIAbwBnAGUAbgBBAHAAcABsAGkAZQBkAFQAbwBTAG8AaQBsAHMAUwBjAG8AcABlADMAXABuAE0AYQBzAHMAIABvAGYAIABuAGkAdAByAG8AZwBlAG4AIABmAHIAbwBtACAAbQBhAG4AdQByAGUAIABhAHAAcABsAGkAZQBkACAAdABvACAAcwBvAGkAbABzACAAZgBvAHIAIABzAGMAbwBwAGUAIAAzACAAZQBtAGkAcwBzAGkAbwBuAHMAXABuAE0ATgBTAG8AaQBsAF8AcwBjAG8AcABlADMAXABuAGsAZwAgAE4AXABuAE0ATgBTAG8AaQBsAF8AewBzAGMAbwBwAGUAMwB9AD0AKABNAE4AXwB7AGoAbQB9AFwAXAB0AGkAbQBlAHMAIAAoADEALQBFAEYAXwBtAC0ARgByAGEAYwBHAEEAUwBNAF8AbQApAC0ATQBOAEwAZQBhAGMAaABfAGoAbQApAFwAXAB0AGkAbQBlAHMAIAAoADEALQBQAEYAK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yAF8ATQBhAHMAcwBPAGYATgBpAHQAcgBvAGcAZQBuAEEAcABwAGwAaQBlAGQAVABvAFMAbwBpAGwAcwBTAGMAbwBwAGUAMwBcAG4AIAAgAD0ATABBAE0AQgBEAEEAKABcAG4AIAAgACAAIABNAE4AXwBqAG0ALAAgAEUARgBfAG0ALAAgAEYAcgBhAGMARwBBAFMATQBfAG0ALAAgAE0ATgBMAGUAYQBjAGgAXwBqAG0ALAAgAFAARgAsAFwAbgAgACAAIAAgACgATQBOAF8AagBtACAAKgAgACgAMQAgAC0AIABFAEYAXwBtACAALQAgAEYAcgBhAGMARwBBAFMATQBfAG0AKQAgAC0AIABNAE4ATABlAGEAYwBoAF8AagBtACkAIAAqACAAKAAxACAALQAgAFAARgApAFwAbgAgACAAKQA7AFwAbgBcAG4AVgBFAEUAUgBHAF8ANABfADMAXwAxAF8AOABfAF8AMgBfAE0AYQBzAHMATwBmAE4AaQB0AHIAbwBnAGUAbgBBAHAAcABsAGkAZQBkAFQAbwBTAG8AaQBsAHMAUwBjAG8AcABlADMAXwBUAGkAdABsAGUAXABuACAAIAA9AEwAQQBNAEIARABBACgAXAAiAE0AYQBzAHMAIABvAGYAIABuAGkAdAByAG8AZwBlAG4AIABmAHIAbwBtACAAbQBhAG4AdQByAGUAIABhAHAAcABsAGkAZQBkACAAdABvACAAcwBvAGkAbABzACAAZgBvAHIAIABzAGMAbwBwAGUAIAAzACAAZQBtAGkAcwBzAGkAbwBuAHMAXAAiACkAOwBcAG4AXABuAFYARQBFAFIARwBfADQAXwAzAF8AMQBfADgAXwBfADIAXwBNAGEAcwBzAE8AZgBOAGkAdAByAG8AZwBlAG4AQQBwAHAAbABpAGUAZABUAG8AUwBvAGkAbABzAFMAYwBvAHAAZQAzAF8AVgBhAHIAaQBhAGIAbABlAFwAbgAgACAAPQBMAEEATQBCAEQAQQAoAFwAIgBNAE4AUwBvAGkAbABfAHMAYwBvAHAAZQAzAFwAIgApADsAXABuAFwAbgBWAEUARQBSAEcAXwA0AF8AMwBfADEAXwA4AF8AXwAyAF8ATQBhAHMAcwBPAGYATgBpAHQAcgBvAGcAZQBuAEEAcABwAGwAaQBlAGQAVABvAFMAbwBpAGwAcwBTAGMAbwBwAGUAMwBfAFUAbgBpAHQAXABuACAAIAA9AEwAQQBNAEIARABBACgAXAAiAGsAZwAgAE4AXAAiACkAOwBcAG4AXABuAFYARQBFAFIARwBfADQAXwAzAF8AMQBfADgAXwBfADIAXwBNAGEAcwBzAE8AZgBOAGkAdAByAG8AZwBlAG4AQQBwAHAAbABpAGUAZABUAG8AUwBvAGkAbABzAFMAYwBvAHAAZQAzAF8AUwBvAHUAcgBjAGUAXABuACAAIAA9AEwAQQBNAEIARABBACgAXAAiAFYARQBFAFIARwAgADIAMAAyADYAOgAgADQALgAzAC4AMQAuADgALAAgAEUAcQB1AGEAdABpAG8AbgAgACgAMgApAFwAIgApADsAXABuAFwAbgBWAEUARQBSAEcAXwA0AF8AMwBfADEAXwA4AF8AXwAyAF8ATQBhAHMAcwBPAGYATgBpAHQAcgBvAGcAZQBuAEEAcABwAGwAaQBlAGQAVABvAFMAbwBpAGwAcwBTAGMAbwBwAGUAMwBfAE4ASQBSAFIAZQBmAGUAcgBlAG4AYwBlAFwAbgAgACAAPQBMAEEATQBCAEQAQQAoAFwAIgBcACIAKQA7AFwAbgBcAG4AVgBFAEUAUgBHAF8ANABfADMAXwAxAF8AOABfAF8AMgBfAE0AYQBzAHMATwBmAE4AaQB0AHIAbwBnAGUAbgBBAHAAcABsAGkAZQBkAFQAbwBTAG8AaQBsAHMAUwBjAG8AcABlADMAXwBMAGEAdABlAHgARQBxAHUAYQB0AGkAbwBuAFwAbgAgACAAPQBMAEEATQBCAEQAQQAoAFwAIgBNAE4AUwBvAGkAbABfAHsAcwBjAG8AcABlADM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CgAMQAtAFAARgApAFwAIgApADsAXABuAFwAbgBWAEUARQBSAEcAXwA0AF8AMwBfADEAXwA4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lAG0AaQBzAHMAaQBvAG4AIABmAGEAYwB0AG8AcgAgAGYAbwByACAAbgBpAHQAcgBvAHUAcwAgAG8AeABpAGQAZQAgAGUAbQBpAHMAcwBpAG8AbgBzACAAcABlAHIAIABNAE0AUwBcACIALAAgAFwAIgBrAGcAIABOADIATwAtAE4ALwBrAGcAIABOAFwAIgAsACAAXAAiAEMAbwBuAHMAdABhAG4AdABcACIAOwBcAG4AIAAgACAAIAAgACAAIAAgACAAIABcACIARgByAGEAYwBHAEEAUwBNAF8AbQBcACIALAAgAFwAIgBmAHIAYQBjAHQAaQBvAG4AIABvAGYAIABOACAAdgBvAGwAYQB0AGkAbABpAHMAZQBkACAAZgByAG8AbQAgAE0ATQBTAFwAIgAsACAAXAAiAGYAcgBhAGMAdABpAG8AbgBcACIALAAgAFwAIgBDAG8AbgBzAHQAYQBuAHQAXAAiADsAXABuACAAIAAgACAAIAAgACAAIAAgACAAXAAiAE0ATgBMAGUAYQBjAGgAXwBqAG0AXAAiACwAIABcACIAbQBhAHMAcwAgAG8AZgAgAE4AIABsAG8AcwB0ACAAdABoAHIAbwB1AGcAaAAgAGwAZQBhAGMAaABpAG4AZwAgAGEAbgBkACAAcgB1AG4AbwBmAGYAIABmAHIAbwBtACAAZQBhAGMAaAAgAE0ATQBTAFwAIgAsACAAXAAiAGsAZwAgAE4AXAAiACwAIABcACIAQwBhAGwAYwB1AGwAYQB0AGUAZAAgAGYAcgBvAG0AIAA0AC4AMwAuADEALgA2ACAAKAAyACkAXAAiADsAXABuACAAIAAgACAAIAAgACAAIAAgACAAXAAiAFAARgBcACIALAAgAFwAIgBmAHIAYQBjAHQAaQBvAG4AIABvAGYAIABtAGEAbgB1AHIAZQAgAGEAcABwAGwAaQBlAGQAIAB0AG8AIABzAG8AaQBsACAAdwBpAHQAaABpAG4AIABmAGEAcgBtACAAYgBvAHUAbgBkAGEAcgB5AFwAIgAsACAAXAAiAGYAcgBhAGMAdABpAG8Ab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XAB1ADAAMAAzAGUAIAAwAC4ANAA2ACkAOwAgAGUAbQBwAHQAeQAgAGMAZQBsAGwAcwAgAGEAcgBlACAAXAAiAFwAIgAuAFwAbgBcAG4AQwBvAGwAdQBtAG4AIABvAHIAZABlAHIAIAAoADMAMQApADoAXABuACAAIAAxAC4AIABDAG8AbQBwAGEAbgB5AFwAbgAgACAAMgAuACAAUAByAG8AZAB1AGMAdAAgAG4AYQBtAGUAXABuACAAIAAzAC4AIABVAG4AaQB0AFwAbgAgACAANAAuACAARABlAG4AcwBpAHQAeQBcAG4AIAAgADUALgAgAEMAbwBuAHQAYQBpAG4AcwAgAGkAbgBoAGkAYgBpAHQAbwByAFwAbgAgACAANgAuACAAVQByAGUAYQAgAHMAbwB1AHIAYwBlAFwAbgAgACAANwAuACAAQQBtAG0AbwBuAGkAYQAgAHMAbwB1AHIAYwBlAFwAbgAgACAAOAAuACAATgAgAGQAZQBjAGwAYQByAGUAZABcAG4AIAAgADkALgAgAFAAIABkAGUAYwBsAGEAcgBlAGQAXABuACAAIAAxADAALgAgAEsAIABkAGUAYwBsAGEAcgBlAGQAXABuACAAIAAxADEALgAgAFMAIABkAGUAYwBsAGEAcgBlAGQAXABuACAAIAAxADIALgAgAEkAbgBnAHIAZQBkAGkAZQBuAHQAIAAxAFwAbgAgACAAMQAzAC4AIABJAG4AZwByAGUAZABpAGUAbgB0ACAAMQAgAHAAZQByAGMAZQBuAHQAXABuACAAIAAxADQALgAgAEkAbgBnAHIAZQBkAGkAZQBuAHQAIAAyAFwAbgAgACAAMQA1AC4AIABJAG4AZwByAGUAZABpAGUAbgB0ACAAMgAgAHAAZQByAGMAZQBuAHQAXABuACAAIAAxADYALgAgAEkAbgBnAHIAZQBkAGkAZQBuAHQAIAAzAFwAbgAgACAAMQA3AC4AIABJAG4AZwByAGUAZABpAGUAbgB0ACAAMwAgAHAAZQByAGMAZQBuAHQAXABuACAAIAAxADgALgAgAEkAbgBnAHIAZQBkAGkAZQBuAHQAIAA0AFwAbgAgACAAMQA5AC4AIABJAG4AZwByAGUAZABpAGUAbgB0ACAANAAgAHAAZQByAGMAZQBuAHQAXABuACAAIAAyADAALgAgAEkAbgBnAHIAZQBkAGkAZQBuAHQAIAA1AFwAbgAgACAAMgAxAC4AIABJAG4AZwByAGUAZABpAGUAbgB0ACAANQAgAHAAZQByAGMAZQBuAHQAXABuACAAIAAyADIALgAgAEkAbgBnAHIAZQBkAGkAZQBuAHQAIAA2AFwAbgAgACAAMgAzAC4AIABJAG4AZwByAGUAZABpAGUAbgB0ACAANgAgAHAAZQByAGMAZQBuAHQAXABuACAAIAAyADQALgAgAEkAbgBnAHIAZQBkAGkAZQBuAHQAIAA3AFwAbgAgACAAMgA1AC4AIABJAG4AZwByAGUAZABpAGUAbgB0ACAANwAgAHAAZQByAGMAZQBuAHQAXABuACAAIAAyADYALgAgAEkAbgBnAHIAZQBkAGkAZQBuAHQAIAA4AFwAbgAgACAAMgA3AC4AIABJAG4AZwByAGUAZABpAGUAbgB0ACAAOAAgAHAAZQByAGMAZQBuAHQAXABuACAAIAAyADgALgAgAEkAbgBnAHIAZQBkAGkAZQBuAHQAIAA5AFwAbgAgACAAMgA5AC4AIABJAG4AZwByAGUAZABpAGUAbgB0ACAAOQAgAHAAZQByAGMAZQBuAHQAXABuACAAIAAzADAALgAgAEkAbgBnAHIAZQBkAGkAZQBuAHQAIAAxADAAXABuACAAIAAzADEALgAgAEkAbgBnAHIAZQBkAGkAZQBuAHQAIAAxADAAIABwAGUAcgBjAGUAbgB0AFwAbgAgACAAXABuAC0ALQAtAC0ALQAtAC0ALQAtAC0ALQAtAC0ALQAtAC0ALQAtAC0ALQAtAC0ALQAtAC0ALQAtAC0ALQAtAC0ALQAtAC0ALQAtAC0ALQAtAC0ALQAtAC0ALQAtAC0ALQAtAC0ALQAtAC0ALQAtAC0ALQAtAC0ALQAtAFwAbgAqAC8AXABuAFwAbgBGAGUAcgB0AGkAbABpAHMAZQByAF8AUAByAG8AZAB1AGMAdABzAF8ARABhAHQAYQAxAFwAbgA9AEwAQQBNAEIARABBACgAXABuACAATQBBAEsARQBBAFIAUgBBAFkAKAAzADAALAAgADMAMQAsAFwAbgAgAEwAQQBNAEIARABBACgAcgAsAGMALABcAG4AIAAgAEkATgBEAEUAWAAoAHsAXABuAFwAIgBDAGEAbQBwAGIAZQBsAGwAcwAgAGYAZQByAHQAaQBsAGkAcwBlAHIAcwAgAEEAdQBzAHQAcgBhAGwAaQBhAFwAIgAsAFwAIgBBAHEAdQBhACAARgBpAG4AaQBzAGgAXAAiACwAXAAiAEwAXAAiACwAMQAuADIANgAsAFwAIgBcACIALABcACIAXAAiACwAXAAiAFwAIgAsADIALgA2ACwANAAsADIAMgAuADU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RwByAG8AdwBcACIALABcACIATABcACIALAAxAC4AMgA2ACwAXAAiAFwAIgAsAFwAIgBcACIALABcACIAXAAiACwAOQAuADYALAA1ACwAMQAwAC4ANQ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IABBAE4AXAAiACwAXAAiAEwAXAAiACwAMQAuADIANAAsAFwAIgBcACIALABcACIAXAAiACwAXAAiAFwAIgAsADIAMgAuADMALABcACIAXAAiACwAXAAiAFwAIgAsAFwAIgBcACIALABcACIATgBpAHQAcgBvAGcAZQBuACAALQAgAEEAbQBtAG8AbgBpAGEAYwBhAGwAXAAiACwAMAAuADIAMgAz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FwAIgAsAFwAIgBMAFwAIgAsADEALgA1ACwAXAAiAFwAIgAsAFwAIgBcACIALABcACIAXAAiACwAMQAzAC4AMgAsAFwAIgBcACIALABcACIAXAAiACwAXAAiAFwAIgAsAFwAIgBDAGEAbABjAGkAdQBt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KABWAEkAKQBcACIALABcACIATABcACIALAAxAC4ANQAsAFwAIgBcACIALABcACIAXAAiACwAXAAiAFwAIgAsADEAMwAuADIALABcACIAXAAiACwAXAAiAFwAIgAsAFwAIgBcACIALABcACIAQwBhAGwAYwBpAHUAbQ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FUAbAB0AGkAbQBhAHQAZQBcACIALABcACIATABcACIALAAxAC4ANQAsAFwAIgBcACIALABcACIAXAAiACwAXAAiAFwAIgAsADEAMwAuADIALABcACIAXAAiACwAXAAiAFwAIgAsAFwAIgBcACIALABcACIAQwBhAGwAYwBpAHUAbQBcACIALAAwAC4AMQA4ADM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MAdABhAHIAdABcACIALABcACIATABcACIALAAxAC4AMgA1ACwAXAAiAFwAIgAsAFwAIgBcACIALABcACIAXAAiACwAMQAwAC4AMwAsADEAMAAsADMALgA0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QwBvAG0AcABsAGUAdABlAFwAIgAsAFwAIgBMAFwAIgAsADEALgA0ADMALABcACIAXAAiACwAXAAiAFwAIgAsAFwAIgBcACIALAAyAC4ANQAsADMALgA4ACwAMgAyAC4ANQAsAFwAIgBcACIALABcACIAUABvAHQAYQBzAHMAaQB1AG0AIAAtACAARwBlAG4AZQByAGkAYwBcACIALAAwAC4AMgAyADUALABcACIAUABoAG8AcwBwAGgAbwByAHUAcwAgAC0AIABHAGUAbgBlAHIAaQBjAFwAIgAsADAALgAwADMAOAAsAFwAIgBOAGkAdAByAG8AZwBlAG4AIAAtACAARwBlAG4AZQByAGkAYwBcACIALAAwAC4AMAAy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FAG0AZQByAGcAZQBcACIALABcACIATABcACIALAAxAC4AMgA5ACwAXAAiAFwAIgAsAFwAIgBcACIALABcACIAXAAiACwAMQAwAC4ANQAsADkALgA0ACwANAAsADM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GAGwAbwB1AHIAaQBzAGgAXAAiACwAXAAiAEwAXAAiACwAMQAuADMAMgAsAFwAIgBcACIALABcACIAXAAiACwAXAAiAFwAIgAsADkALgA1ACwANAAuADcALAAxADAALgA4ACwAOAAuADE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OwBcAG4AXAAiAEMAYQBtAHAAYgBlAGwAbABzACAAZgBlAHIAdABpAGwAaQBzAGUAcgBzACAAQQB1AHMAdAByAGEAbABpAGEAXAAiACwAXAAiAEIAbwBvAHMAdAAtAEkAdABcACIALABcACIAawBnAFwAIgAsADEALABcACIAXAAiACwAXAAiAFwAIgAsAFwAIgBcACIALAAyADQALAA1AC4AMgAsADgALAA1AC4AMwAsAFwAIgBVAHIAZQBhAFwAIgAsADAALgA1ADIAMQA3ADMAOQAsAFwAIgBQAG8AdABhAHMAcwBpAHUAbQAgAC0AIABHAGUAbgBlAHIAaQBjAFwAIgAsADAALgAwADgALABcACIAUwB1AGwAZgB1AHIAIAAtACAARwBlAG4AZQByAGkAYwBcACIALAAwAC4AMAA1ADMALABcACIAUABoAG8AcwBwAGgAbwByAHUAcwAgAC0AIABHAGUAbgBlAHIAaQBjAFwAIgAsADAALgAwADUAMgAsAFwAIgBNAGEAZwBuAGUAcwBpAHUAbQBcACIALAAwAC4AMAAxADMALABcACIAWgBpAG4AYwBcACIALAAwAC4AMAAwADIALABcACIATQBhAG4AZwBhAG4AZQBzAGUAXAAiACwAMAAuADAAMAAzADUALABcACIASQByAG8AbgBcACIALAAwAC4AMAAwADEAMwAsAFwAIgBDAG8AcABwAGUAcgBcACIALAAwAC4AMAAwADAANwAsAFwAIgBCAG8AcgBvAG4AXAAiACwAMAAuADAAMAAwADcAOwBcAG4AXAAiAEMAYQBtAHAAYgBlAGwAbABzACAAZgBlAHIAdABpAGwAaQBzAGUAcgBzACAAQQB1AHMAdAByAGEAbABpAGEAXAAiACwAXAAiAEIAcgBvAG4AegBlAFwAIgAsAFwAIgBrAGcAXAAiACwAMQAsAFwAIgBcACIALABcACIAXAAiACwAXAAiAFwAIgAsADEANwAsADAALgAwADQALAAxADEALgA2ACwAMAAuADUALABcACIATQB1AHIAaQBhAHQAZQAgAG8AZgAgAH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OwBcAG4AXAAiAEMAYQBtAHAAYgBlAGwAbABzACAAZgBlAHIAdABpAGwAaQBzAGUAcgBzACAAQQB1AHMAdAByAGEAbABpAGEAXAAiACwAXAAiAEMAYQBsAGIAaQB0ACAAQwBcACIALABcACIATABcACIALAAxAC4ANAA1ACwAXAAiAFwAIgAsAFwAIgBcACIALABcACIAXAAiACwAXAAiAFwAIgAsAFwAIgBcACIALABcACIAXAAiACwAXAAiAFwAIgAsAFwAIgBDAGEAbABjAGkAdQBtAFwAIgAsADAALgAxADAAN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wBvAG0AcABhAHMAcwBcACIALABcACIAawBnAFwAIgAsADEALABcACIAXAAiACwAXAAiAFwAIgAsAFwAIgBcACIALAAxADUALAA2AC4ANQAsADEAMgAuADUALAA2ACwAXAAiAE4AaQB0AHIAbwBnAGUAbgAgAC0AIABBAG0AbQBvAG4AaQBhAGMAYQBsAFwAIgAsADAALgAwADcANQAsAFwAIgBOAGkAdAByAG8AZwBlAG4AIAAtACAATgBpAHQAcgBhAHQAZQBcACIALAAwAC4AMAA3ADUALABcACIAUABvAHQAYQBzAHMAaQB1AG0AIAAtACAARwBlAG4AZQByAGkAYwBcACIALAAwAC4AMQAyADUALABcACIAUABoAG8AcwBwAGgAbwByAHUAcwAgAC0AIABHAGUAbgBlAHIAaQBjAFwAIgAsADAALgAwADYANQAsAFwAIgBTAHUAbABmAHUAcgAgAC0AIABHAGUAbgBlAHIAaQBjAFwAIgAsADAALgAwADYALABcACIAXAAiACwAXAAiAFwAIgAsAFwAIgBcACIALABcACIAXAAiACwAXAAiAFwAIgAsAFwAIgBcACIALABcACIAXAAiACwAXAAiAFwAIgAsAFwAIgBcACIALABcACIAXAAiADsAXABuAFwAIgBDAGEAbQBwAGIAZQBsAGwAcwAgAGYAZQByAHQAaQBsAGkAcwBlAHIAcwAgAEEAdQBzAHQAcgBhAGwAaQBhAFwAIgAsAFwAIgBDAG8AUgBvAE4AIAAxADIALQAwAC0AMQAwAFwAIgAsAFwAIgBMAFwAIgAsADEALgAyADEANQAsAFwAIgBcACIALABcACIAXAAiACwAXAAiAFwAIgAsADEAMgAsAFwAIgBcACIALAAxADAALABcACIAXAAiACwAXAAiAFUAcgBlAGEAXAAiACwAMAAuADEAOQA1ADYANQAy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DsAXABuAFwAIgBDAGEAbQBwAGIAZQBsAGwAcwAgAGYAZQByAHQAaQBsAGkAcwBlAHIAcwAgAEEAdQBzAHQAcgBhAGwAaQBhAFwAIgAsAFwAIgBNAGEAeABpAG0AdQBtACAAUQB1AGkAYwBrAC0ATgBcACIALABcACIAawBnAFwAIgAsADEALABcACIAXAAiACwAXAAiAFwAIgAsAFwAIgBcACIALAAyADEALgA2ADYALABcACIAXAAiACwAXAAiAFwAIgAsADEAMwAuADIALABcACIAUwB1AGwAcABoAGEAdABlACAAbwBmACAAYQBtAG0AbwBuAGkAYQAgACgAUwBPAEEAKQBcACIALAAwAC4ANQA1ACwAXAAiAEEAbQBtAG8AbgBpAHUAbQAgAG4AaQB0AHIAYQB0AGUAIAAoAEEATgApAFwAIgAsADAALgAzACwAXAAiAFwAIgAsAFwAIgBcACIALABcACIAXAAiACwAXAAiAFwAIgAsAFwAIgBcACIALABcACIAXAAiACwAXAAiAFwAIgAsAFwAIgBcACIALABcACIAXAAiACwAXAAiAFwAIgAsAFwAIgBcACIALABcACIAXAAiACwAXAAiAFwAIgAsAFwAIgBcACIALABcACIAXAAiACwAXAAiAFwAIgA7AFwAbgBcACIAUwBMACAAVABlAGMAXAAiACwAXAAiAEMAcgBvAHAAIABCAG8AbwBzAHQAZQByACAAUABMAFUAUwBcACIALABcACIATABcACIALAAxAC4AMwAxADkALABcACIAXAAiACwAXAAiAFwAIgAsAFwAIgBcACIALAA1ACwAMQA1ACwAMgAuADEALABcACIAXAAiACwAXAAiAFAAaABvAHMAcABoAG8AcgB1AHMAIAAtACAARwBlAG4AZQByAGkAYwBcACIALAAwAC4AMQA1ACwAXAAiAEMAYQBsAGMAaQB1AG0AXAAiACwAMAAuADAANAAsAFwAIgBOAGkAdAByAG8AZwBlAG4AIAAtACAAQQBtAG0AbwBuAGkAYQBjAGEAbABcACIALAAwAC4AMAAyADkALABcACIATgBpAHQAcgBvAGcAZQBuACAALQAgAE4AaQB0AHIAYQB0AGUAXAAiACwAMAAuADAAMgAxACwAXAAiAFAAbwB0AGEAcwBzAGkAdQBtACAALQAgAEcAZQBuAGUAcgBpAGMAXAAiACwAMAAuADAAMgAxACwAXAAiAEMAbwBwAHAAZQByAFwAIgAsADAALgAwADAANQAsAFwAIgBaAGkAbgBjAFwAIgAsADAALgAwADAANAAsAFwAIgBNAGEAbgBnAGEAbgBlAHMAZQBcACIALAAwAC4AMAAwADQALABcACIATQBhAGcAbgBlAHMAaQB1AG0AXAAiACwAMAAuADAAMAAyACwAXAAiAFwAIgAsAFwAIgBcACIAOwBcAG4AXAAiAFIAaQBzAHMAbwAtAEMAaABlAG0AaQBjAGEAbABcACIALABcACIAQQBtAG0AbwBuAGkAdQBtACAAQgBpAGMAYQByAGIAbwBuAGEAdABlAFwAIgAsAFwAIgBrAGcAXAAiACwAMQAsAFwAIgBcACIALABcACIAXAAiACwAXAAiAEMAaABpAG4AYQBcACIALAAxADcALgA3ACwAXAAiAFwAIgAsAFwAIgBcACIALABcACI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BAG0AbQBvAG4AaQB1AG0AIABTAHUAbABmAGEAdABlAFwAIgAsAFwAIgBrAGcAXAAiACwAMQAsAFwAIgBcACIALABcACIAXAAiACwAXAAiAEMAaABpAG4AYQBcACIALAAyADEALABcACIAXAAiACwAXAAiAFwAIgAsADIANA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OwBcAG4AXAAiAFIAYQB2AGUAbgBzAGQAbwB3AG4AXAAiACwAXAAiAEEAbQBtAG8AbgBpAHUAbQAgAFMAdQBsAHAAaABhAHQAZQAgAC0AIABHAHIAYQBuAHUAbABhAHI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RABpAC0AQQBtAG0AbwBuAGkAdQBtACAAUABoAG8AcwBwAGgAYQB0AGUAIAAoAEQAQQBQACkAXAAiACwAXAAiAGsAZwBcACIALAAxACwAXAAiAFwAIgAsAFwAIgBcACIALABcACIAXAAiACwAMQA4ACwAMgAwACwAXAAiAFwAIgAsAFwAIgBcACIALABcACIARABpAGEAbQBtAG8AbgBpAHUAbQAgAHAAaABvAHMAcABoAGEAdABlACAAKABEAEE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IAYQBzAGEAbAB0ACAAQgBvAG8AUwBTAHQAYQBcACIALABcACIAawBnAFwAIgAsADEALABcACIAXAAiACwAXAAiAFwAIgAsAFwAIgBcACIALAA4ACwAMQA0ACwAXAAiAFwAIgAsADIANwAuADYALABcACIAUwB1AGwAZgB1AHIAIAAtACAARwBlAG4AZQByAGkAYwBcACIALAAwAC4AMgA3ADYALABcACIAUABoAG8AcwBwAGgAbwByAHUAcwAgAC0AIABHAGUAbgBlAHIAaQBjAFwAIgAsADAALgAxADQALABcACIATgBpAHQAcgBvAGcAZQBuACAALQAgAEcAZQBuAGUAcgBpAGMAXAAiACwAMAAuADAAOAAsAFwAIgBGAGwAdQBvAHIAaQBkAGUAXAAiACwAMAAuADAAMgA0ACwAXAAiAFwAIgAsAFwAIgBcACIALABcACIAXAAiACwAXAAiAFwAIgAsAFwAIgBcACIALABcACIAXAAiACwAXAAiAFwAIgAsAFwAIgBcACIALABcACIAXAAiACwAXAAiAFwAIgAsAFwAIgBcACIALABcACIAXAAiADsAXABuAFwAIgBTAHUAbQBtAGkAdAAgAEYAZQByAHQAaQBsAGkAegBlAHIAcwBcACIALABcACIARABBAFAAUwBaAEMAXAAiACwAXAAiAGsAZwBcACIALAAxACwAXAAiAFwAIgAsAFwAIgBcACIALABcACIAXAAiACwAMQA2AC4AOQAsADEAOAAuADIALABcACIAXAAiACwAOAAsAFwAIgBQAGgAbwBzAHAAaABvAHIAdQBzACAALQAgAEcAZQBuAGUAcgBpAGMAXAAiACwAMAAuADEAOAAyACwAXAAiAE4AaQB0AHIAbwBnAGUAbgAgAC0AIABHAGUAbgBlAHIAaQBjAFwAIgAsADAALgAxADYAOQAsAFwAIgBTAHUAbABmAHUAcgAgAC0AIABHAGUAbgBlAHIAaQBjAFwAIgAsADAALgAwADgALABcACIAWgBpAG4AYwBcACIALAAwAC4AMAAwADIALABcACIAQwBvAHAAcABlAHIAXAAiACwAMAAuADAAMAAxACwAXAAiAFwAIgAsAFwAIgBcACIALABcACIAXAAiACwAXAAiAFwAIgAsAFwAIgBcACIALABcACIAXAAiACwAXAAiAFwAIgAsAFwAIgBcACIALABcACIAXAAiACwAXAAiAFwAIgA7AFwAbgBcACIASQBuAGMAaQB0AGUAYwAgAFAAaQB2AG8AdAAgAEYAZQByAHQAaQBsAGkAcwBlAHIAcwBcACIALABcACIARQBhAHMAeQAgAE4AXAAiACwAXAAiAEwAXAAiACwAMQAuADMAMgAsAFwAIgBcACIALABcACIAXAAiACwAXAAiAFwAIgAsADQAMgAuADUALABcACIAXAAiACwAXAAiAFwAIgAsAFwAIgBcACIALABcACIAVQByAGUAYQBcACIALAAwAC4ANAA2ADcAMwA5ADE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OwBcAG4AXAAiAFIAaQBzAHMAbwAtAEMAaABlAG0AaQBjAGEAbABcACIALABcACIAQwBhAGwAYwBpAHUAbQAgAEEAbQBtAG8AbgBpAHUAbQAgAG4AaQB0AHIAYQB0AGUAXAAiACwAXAAiAGsAZwBcACIALAAxACwAXAAiAFwAIgAsAFwAIgBcACIALABcACIAQwBoAGkAbgBhAFwAIgAsADQAMAAuADUALABcACIAXAAiACwAXAAiAFwAIgAsAFwAIgBcACIALABcACIATgBpAHQAcgBvAGcAZQBuACAALQAgAEEAbQBtAG8AbgBpAGEAYwBhAGwAXAAiACwAMAAuADIANwAsAFwAIgBOAGkAdAByAG8AZwBlAG4AIAAtACAATgBpAHQAcgBhAHQAZQBcACIALAAwAC4AMQAzADUALABcACIAQwBhAGwAYwBpAHUAbQBcACIALAAwAC4AMQAyACwAXAAiAFwAIgAsAFwAIgBcACIALABcACIAXAAiACwAXAAiAFwAIgAsAFwAIgBcACIALABcACIAXAAiACwAXAAiAFwAIgAsAFwAIgBcACIALABcACIAXAAiACwAXAAiAFwAIgAsAFwAIgBcACIALABcACIAXAAiACwAXAAiAFwAIgAsAFwAIgBcACIAOwBcAG4AXAAiAFMATAAgAFQAZQBjAFwAIgAsAFwAIgBDAGUAbABsAEMAQQBMACAAUABsAHUAcwBcACIALABcACIATABcACIALAAxAC4AMQAzADgALABcACIAXAAiACwAXAAiAFwAIgAsAFwAIgBcACIALABcACIAXAAiACwAXAAiAFwAIgAsAFwAIgBcACIALABcACIAXAAiACwAXAAiAEMAYQBsAGMAaQB1AG0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SwA1ADUAXAAiACwAXAAiAGsAZwBcACIALAAxACwAXAAiAFwAIgAsAFwAIgBcACIALABcACIAXAAiACwAMQAzAC4ANQAsADEANQAsADYALgAyADUALAAxAC4AMgAsAFwAIgBQAGgAbwBzAHAAaABvAHIAdQBzACAALQAgAEcAZQBuAGUAcgBpAGMAXAAiACwAMAAuADEANQAsAFwAIgBOAGkAdAByAG8AZwBlAG4AIAAtACAAQQBtAG0AbwBuAGkAYQBjAGEAbABcACIALAAwAC4AMQAzADUALABcACIATQB1AHIAaQBhAHQAZQAgAG8AZgAgAHAAbwB0AGEAcwBoACAAKABNAE8AUAApAFwAIgAsADAALgAxADIANQAsAFwAIgBGAGwAdQBvAHIAaQBkAGUAXAAiACwAMAAuADAAMgAzACwAXAAiAFMAdQBsAGYAdQByACAALQAgAEcAZQBuAGUAcgBpAGMAXAAiACwAMAAuADAAMQAyACwAXAAiAFwAIgAsAFwAIgBcACIALABcACIAXAAiACwAXAAiAFwAIgAsAFwAIgBcACIALABcACIAXAAiACwAXAAiAFwAIgAsAFwAIgBcACIALABcACIAXAAiACwAXAAiAFwAIgA7AFwAbgBcACIAUwB3AGkAdABjAGgAIABBAGcAXAAiACwAXAAiAEMAcgBvAHAAIABLAFwAIgAsAFwAIgBMAFwAIgAsADEALgAyADUALABcACIAXAAiACwAXAAiAFwAIgAsAFwAIgBcACIALAAzACwAXAAiAFwAIgAsADIAMQAsAFwAIgBcACIALABcACIAUABvAHQAYQBzAHMAaQB1AG0AIAAtACAARwBlAG4AZQByAGkAYwBcACIALAAwAC4AMgAx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TAHcAaQB0AGMAaAAgAEEAZwBcACIALABcACIAQwByAG8AcAAgAFMAdABhAHIAdABlAHIAXAAiACwAXAAiAEwAXAAiACwAMQAuADIALABcACIAXAAiACwAXAAiAFwAIgAsAFwAIgBcACIALAA1ACwAMwAsADgALABcACIAXAAiACwAXAAiAFAAbwB0AGEAcwBzAGkAdQBtACAALQAgAEcAZQBuAGUAcgBpAGMAXAAiACwAMAAuADAAOAAsAFwAIgBOAGkAdAByAG8AZwBlAG4AIAAtACAARwBlAG4AZQByAGkAYwBcACIALAAwAC4AMAA1ACwAXAAiAFAAaABvAHMAcABoAG8AcgB1AHMAIAAtACAARwBlAG4AZQByAGkAYwBcACIALAAwAC4AMAAz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cAcgBhAG4ALQBB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IAXABuAD0ATABBAE0AQgBEAEEAKABcAG4AIABNAEEASwBFAEEAUgBSAEEAWQAoADMAMAAsACAAMwAxACwAXABuACAATABBAE0AQgBEAEEAKAByACwAYwAsAFwAbgAgACAASQBOAEQARQBYACgAewBcAG4AXAAiAEMAYQBtAHAAYgBlAGwAbABzACAAZgBlAHIAdABpAGwAaQBzAGUAcgBzACAAQQB1AHMAdAByAGEAbABpAGEAXAAiACwAXAAiAEUAbgBjAGEAbABcACIALABcACIATABcACIALAAxAC4ANQAsAFwAIgBcACIALABcACIAXAAiACwAXAAiAFwAIgAsADkALABcACIAXAAiACwAXAAiAFwAIgAsADEAMwAuADkANAAsAFwAIgBTAHUAbABwAGgAYQB0AGUAIABvAGYAIABhAG0AbQBvAG4AaQBhACAAKABTAE8AQQApAFwAIgAsADAALgA1ADgAMAA2ADQANQAsAFwAIgBNAGEAZwBuAGUAcwBpAHUAbQBcACIALAAwAC4AMAAxAD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HUAbABvAGMAawAgAFMAUwBcACIALABcACIAawBnAFwAIgAsADEALABcACIAXAAiACwAXAAiAFwAIgAsAFwAIgBcACIALAAxADAALAAxADcALgA1ACwAXAAiAFwAIgAsADEAMgAsAFwAIgBQAGgAbwBzAHAAaABvAHIAdQBzACAALQAgAEcAZQBuAGUAcgBpAGMAXAAiACwAMAAuADEANwA1ACwAXAAiAFMAdQBsAGYAdQByACAALQAgAEcAZQBuAGUAcgBpAGMAXAAiACwAMAAuADEAMgAsAFwAIgBOAGkAdAByAG8AZwBlAG4AIAAtACAAQQBtAG0AbwBuAGkAYQBjAGEAbABcACIALAAwAC4AMQAsAFwAIgBGAGwAdQBvAHIAaQBkAGUAXAAiACwAMAAuADAAMw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aAFwAIgAsAFwAIgBrAGcAXAAiACwAMQAsAFwAIgBcACIALABcACIAXAAiACwAXAAiAFwAIgAsADEAMQAsADIAMQAuADgALABcACIAXAAiACwANAAsAFwAIgBQAGgAbwBzAHAAaABvAHIAdQBzACAALQAgAEcAZQBuAGUAcgBpAGMAXAAiACwAMAAuADIAMQA4ACwAXAAiAE4AaQB0AHIAbwBnAGUAbgAgAC0AIABHAGUAbgBlAHIAaQBjAFwAIgAsADAALgAxADEALABcACIAUwB1AGwAZgB1AHIAIAAtACAARwBlAG4AZQByAGkAYwBcACIALAAwAC4AMAA0ACwAXAAiAEYAbAB1AG8AcgBpAGQAZQBcACIALAAwAC4AMAAzACwAXAAiAFoAaQBuAGMAXAAiACwAMAAuADAAMQAsAFwAIgBcACIALABcACIAXAAiACwAXAAiAFwAIgAsAFwAIgBcACIALABcACIAXAAiACwAXAAiAFwAIgAsAFwAIgBcACIALABcACIAXAAiACwAXAAiAFwAIgAsAFwAIgBcACIAOwBcAG4AXAAiAEkAbgBjAGkAdABlAGMAIABQAGkAdgBvAHQAIABGAGUAcgB0AGkAbABpAHMAZQByAHMAXAAiACwAXAAiAEYAYQByAG0AIABBAGcAIABMAGUAaQBjAGgAaABhAHIAZAB0AFwAIgAsAFwAIgBrAGcAXAAiACwAMQAsAFwAIgBcACIALABcACIAXAAiACwAXAAiAFwAIgAsADMAMgAuADUALAA1AC4ANAAsADYALgAyADUALABcACIAXAAiACwAXAAiAFUAcgBlAGEAXAAiACwAMAAuADYALABcACIATgBpAHQAcgBvAGcAZQBuACAALQAgAEEAbQBtAG8AbgBpAGEAYwBhAGwAXAAiACwAMAAuADAANAA5ACwAXAAiAFAAaABvAHMAcABoAG8AcgB1AHMAIAAtACAARwBlAG4AZQByAGkAYwBcACIALAAwAC4AMAA1ADQALABcACIATQB1AHIAaQBhAHQAZQAgAG8AZgAgAHAAbwB0AGEAcwBoACAAKABNAE8AUAApAFwAIgAsADAALgAxADIANQAsAFwAIgBcACIALABcACIAXAAiACwAXAAiAFwAIgAsAFwAIgBcACIALABcACIAXAAiACwAXAAiAFwAIgAsAFwAIgBcACIALABcACIAXAAiACwAXAAiAFwAIgAsAFwAIgBcACIALABcACIAXAAiACwAXAAiAFwAIgA7AFwAbgBcACIAUgBhAHYAZQBuAHMAZABvAHcAbgBcACIALABcACIARgBsAGUAeABpAC0ATgAgAE4AQgBQAFQAXAAiACwAXAAiAGsAZwBcACIALAAxACwAXAAiAFkAZQBzAFwAIgAsAFwAIgBcACIALABcACIAXAAiACwANAA1AC4ANQA0ACwAXAAiAFwAIgAsAFwAIgBcACIALABcACIAXAAiACwAXAAiAFUAcgBlAGEAXAAiACwAMAAuADkAO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RwBvAGwAZAAgAFAAcgBlAG0AaQB1AG0AXAAiACwAXAAiAGsAZwBcACIALAAxACwAXAAiAFwAIgAsAFwAIgBcACIALABcACIAXAAiACwAMQA0AC4AOAA3ACwAMgAuADIALAAxADYALgA2ACwAOAAsAFwAIgBBAG0AbQBvAG4AaQB1AG0AIABuAGkAdAByAGEAdABlACAAKABBAE4AKQBcACIALAAwAC4ANAA0ADEAMQA3ADYALABcACIAUABvAHQAYQBzAHMAaQB1AG0AIAAtACAARwBlAG4AZQByAGkAYwBcACIALAAwAC4AMQA2ADYALABcACIAUwB1AGwAZgB1AHIAIAAtACAARwBlAG4AZQByAGkAYwBcACIALAAwAC4AMAA4ACwAXAAiAFAAaABvAHMAcABoAG8AcgB1AHMAIAAtACAARwBlAG4AZQByAGkAYwBcACIALAAwAC4AMAAyADIALABcACIATQBhAGcAbgBlAHMAaQB1AG0AXAAiACwAMAAuADAAMQAyACwAXAAiAEIAbwByAG8AbgBcACIALAAwAC4AMAAwADAAMgAsAFwAIgBaAGkAbgBjAFwAIgAsADAALgAwADAAMAAxACwAXAAiAFwAIgAsAFwAIgBcACIALABcACIAXAAiACwAXAAiAFwAIgAsAFwAIgBcACIALABcACIAXAAiADsAXABuAFwAIgBTAEwAIABUAGUAYwBcACIALABcACIASABpAGcAaAAgAE4AUwBcACIALABcACIATABcACIALAAxAC4AMgA5ADkALABcACIAXAAiACwAXAAiAFwAIgAsAFwAIgBcACIALAAzADgALABcACIAXAAiACwAXAAiAFwAIgAsADIALABcACIAVQByAGUAYQBcACIALAAwAC4ANAA2ADAAOAA3ACwAXAAiAE4AaQB0AHIAbwBnAGUAbgAgAC0AIABBAG0AbQBvAG4AaQBhAGMAYQBsAFwAIgAsADAALgAwADkAMgAsAFwAIgBOAGkAdAByAG8AZwBlAG4AIAAtACAATgBpAHQAcgBhAHQAZQBcACIALAAwAC4AMAA3ADYALABcACIAUwB1AGwAZgB1AHIAIAAtACAARwBlAG4AZQByAGkAYwBcACIALAAwAC4AMAAyACwAXAAiAFwAIgAsAFwAIgBcACIALABcACIAXAAiACwAXAAiAFwAIgAsAFwAIgBcACIALABcACIAXAAiACwAXAAiAFwAIgAsAFwAIgBcACIALABcACIAXAAiACwAXAAiAFwAIgAsAFwAIgBcACIALABcACIAXAAiADsAXABuAFwAIgBJAG0AcABhAGMAdAAgAEYAZQByAHQAaQBsAGkAcwBlAHIAcwBcACIALABcACIASQBtAHAAYQBjAHQAIABTAFMAU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FMAdwBpAHQAYwBoACAAQQBnAFwAIgAsAFwAIgBJAG4AIABDAHIAbwBwAFwAIgAsAFwAIgBMAFwAIgAsADEALgAyACwAXAAiAFwAIgAsAFwAIgBcACIALABcACIAXAAiACwAMQAwACwAMQAsADEAMQAsAFwAIgBcACIALABcACIAUABvAHQAYQBzAHMAaQB1AG0AIAAtACAARwBlAG4AZQByAGkAYwBcACIALAAwAC4AMQAxACwAXAAiAE4AaQB0AHIAbwBnAGUAbgAgAC0AIABHAGUAbgBlAHIAaQBjAFwAIgAsADAALgAxACwAXAAiAFAAaABvAHMAcABoAG8AcgB1AHMAIAAtACAARwBlAG4AZQByAGkAYwBcACIALAAwAC4AMAAxACwAXAAiAFwAIgAsAFwAIgBcACIALABcACIAXAAiACwAXAAiAFwAIgAsAFwAIgBcACIALABcACIAXAAiACwAXAAiAFwAIgAsAFwAIgBcACIALABcACIAXAAiACwAXAAiAFwAIgAsAFwAIgBcACIALABcACIAXAAiACwAXAAiAFwAIgAsAFwAIgBcACIAOwBcAG4AXAAiAFMAdwBpAHQAYwBoACAAQQBnAFwAIgAsAFwAIgBLADIAMABcACIALABcACIATABcACIALAAxAC4AMwAsAFwAIgBcACIALABcACIAXAAiACwAXAAiAFwAIgAsADMALABcACIAXAAiACwAMgAyACwAXAAiAFwAIgAsAFwAIgBQAG8AdABhAHMAcwBpAHUAbQAgAC0AIABHAGUAbgBlAHIAaQBjAFwAIgAsADAALgAyADI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EwAbwB2AGUAbABhAG4AZAAgAEEAZwByAGkAcAByAG8AZAB1AGMAdABzAFwAIgAsAFwAIgBNAGEAeABpAG0AdQBtACAATgAtAFAAYQBjAHQAXAAiACwAXAAiAEwAXAAiACwAMQAuADEAOAA1ACwAXAAiAFwAIgAsAFwAIgBcACIALABcACIAXAAiACwAMgAzAC4AOAAsAFwAIgBcACIALABcACIAXAAiACwAXAAiAFwAIgAsAFwAIgBVAHIAZQBhAFwAIgAsADAALgA1ADEANwAzADkAMQAsAFwAIgBcACIALABcACIAXAAiACwAXAAiAFwAIgAsAFwAIgBcACIALABcACIAXAAiACwAXAAiAFwAIgAsAFwAIgBcACIALABcACIAXAAiACwAXAAiAFwAIgAsAFwAIgBcACIALABcACIAXAAiACwAXAAiAFwAIgAsAFwAIgBcACIALABcACIAXAAiACwAXAAiAFwAIgAsAFwAIgBcACIALABcACIAXAAiACwAXAAiAFwAIgA7AFwAbgBcACIAUwBMACAAVABlAGMAXAAiACwAXAAiAE4AaQB0AHIAbwAgAEMAbwBtAGIAaQAgAFQARQBcACIALABcACIATABcACIALAAxAC4AMgA1ADUALABcACIAXAAiACwAXAAiAFwAIgAsAFwAIgBcACIALABcACIAXAAiACwAXAAiAFwAIgAsADAALgAxACwANAAuADQALABcACIAUwB1AGwAZgB1AHIAIAAtACAARwBlAG4AZQByAGkAYwBcACIALAAwAC4AMAA0ADQALABcACIAWgBpAG4AYwBcACIALAAwAC4AMAAyADIALABcACIASQByAG8AbgBcACIALAAwAC4AMAAyADIALABcACIATQBhAG4AZwBhAG4AZQBzAGUAXAAiACwAMAAuADAAMQA2ACwAXAAiAEIAbwByAG8AbgBcACIALAAwAC4AMAAwADgALABcACIATQBhAGcAbgBlAHMAaQB1AG0AXAAiACwAMAAuADAAMAA3ACwAXAAiAEYAdQBsAHYAaQBjACAAYQBjAGkAZAAgACgAbwByAGcAYQBuAGkAYwApAFwAIgAsADAALgAwADAANQAsAFwAIgBDAG8AcABwAGUAcgBcACIALAAwAC4AMAAwADMALABcACIAUABvAHQAYQBzAHMAaQB1AG0AIAAtACAARwBlAG4AZQByAGkAYwBcACIALAAwAC4AMAAwADEALABcACIATQBvAGwAeQBiAGQAZQBuAHUAbQBcACIALAAwAC4AMAAwADAAMwA7AFwAbgBcACIAUwB3AGkAdABjAGgAIABBAGcAXAAiACwAXAAiAFAAYQBzAHQAdQByAGUATQBBAFgAWABcACIALABcACIATABcACIALAAxAC4AMgAzACwAXAAiAFwAIgAsAFwAIgBcACIALABcACIAXAAiACwAOQAuADcAMQAsAFwAIgBcACIALAAzAC4AMgA1ACwAMgAuADEAMQAsAFwAIgBOAGkAdAByAG8AZwBlAG4AIAAtACAARwBlAG4AZQByAGkAYwBcACIALAAwAC4AMAA5ADcAMQAsAFwAIgBQAG8AdABhAHMAcwBpAHUAbQAgAC0AIABHAGUAbgBlAHIAaQBjAFwAIgAsADAALgAwADMAMgA1ACwAXAAiAFMAdQBsAGYAdQByACAALQAgAEcAZQBuAGUAcgBpAGMAXAAiACwAMAAuADAAMgAxADEALABcACIAWgBpAG4AYwBcACIALAAwAC4AMAAxADUALABcACIASQByAG8AbgBcACIALAAwAC4AMAAxADEAMQAsAFwAIgBNAGEAbgBnAGEAbgBlAHMAZQBcACIALAAwAC4AMAAxADEANQAsAFwAIgBNAGEAZwBuAGUAcwBpAHUAbQBcACIALAAwAC4AMAAwADQANQAsAFwAIgBCAG8AcgBvAG4AXAAiACwAMAAuADAAMAAyACwAXAAiAFwAIgAsAFwAIgBcACIALABcACIAXAAiACwAXAAiAFwAIgA7AFwAbgBcACIAQwBhAG0AcABiAGUAbABsAHMAIABmAGUAcgB0AGkAbABpAHMAZQByAHMAIABBAHUAcwB0AHIAYQBsAGkAYQBcACIALABcACIAUABsAGEAdABpAG4AdQBtACAATgBlAHIAZwBlAHQAaQBjAFwAIgAsAFwAIgBrAGcAXAAiACwAMQAsAFwAIgBcACIALABcACIAXAAiACwAXAAiAFwAIgAsADEAMAAsADEAMAAuADkALAAxADAALAA0AC4AMwA0ACwAXAAiAE0AbwBuAG8AYQBtAG0AbwBuAGkAdQBtACAAcABoAG8AcwBwAGgAYQB0AGUAIAAoAE0AQQBQACkAXAAiACwAMAAuADQAMQA3ADgALABcACIAQQBtAG0AbwBuAGkAdQBtACAAbgBpAHQAcgBhAHQAZQAgACgAQQBOACkAXAAiACwAMAAuADEANwAyADgALABcACIAUABvAHQAYQBzAHMAaQB1AG0AIABzAHUAbABwAGgAYQB0AGUAXAAiACwAMAAuADIANAAwADkANgA0ACwAXAAiAEQAbwB1AGIAbABlACAAcwB1AHAAZQByAHAAaABvAHMAcABoAGEAdABlAFwAIgAsADAALgAxACwAXAAiAE0AYQBnAG4AZQBzAGkAdQBtAFwAIgAsADAALgAwADEAMgAsAFwAIgBaAGkAbgBjAFwAIgAsADAALgAwADAAMwA2ACwAXAAiAEIAbwByAG8AbgBcACIALAAwAC4AMAAwADEALABcACIARwBsAGEAegBlACAARQB4AHQAZQBuAGQAIABHADMAIABGAGwAZQB4AGkAXAAiACwAMAAuADAANQAxADkALABcACIAXAAiACwAXAAiAFwAIgAsAFwAIgBcACIALABcACIAXAAiADsAXABuAFwAIgBJAG0AcABhAGMAdAAgAEYAZQByAHQAaQBsAGkAcwBlAHIAcwBcACIALABcACIAUwB1AGwAcABoAGEAdABlACAAbwBmACAAYQBtAG0AbwBuAGkAYQAgACgAUwBPAEEAK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NAG8AbgBvAC0AQQBtAG0AbwBuAGkAdQBtACAAUABoAG8AcwBwAGgAYQB0AGUAIAAoAE0AQQBQACkAXAAiACwAXAAiAGsAZwBcACIALAAxACwAXAAiAFwAIgAsAFwAIgBcACIALABcACIAXAAiACwAMQAwACwAMgAxAC4AOQAsAFwAIgBcACIALAAxAC4ANQ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VAHIAZQBhAFwAIgAsAFwAIgBrAGcAXAAiACwAMQAsAFwAIgBcACIALABcACIAXAAiACwAXAAiAFwAIgAsADQANgAsAFwAIgBcACIALABcACIAXAAiACwAXAAiAFwAIgAsAFwAIgBVAHIAZQBhAFwAIgAsADEALABcACIAXAAiACwAXAAiAFwAIgAsAFwAIgBcACIALABcACIAXAAiACwAXAAiAFwAIgAsAFwAIgBcACIALABcACIAXAAiACwAXAAiAFwAIgAsAFwAIgBcACIALABcACIAXAAiACwAXAAiAFwAIgAsAFwAIgBcACIALABcACIAXAAiACwAXAAiAFwAIgAsAFwAIgBcACIALABcACIAXAAiACwAXAAiAFwAIgAsAFwAIgBcACIAOwBcAG4AXAAiAEsAbwBjAGgAIABGAGUAcgB0AGkAbABpAHMAZQByACAAQQB1AHMAdAByAGEAbABpAGEAXAAiACwAXAAiAE0AdQByAGkAYQB0AGUAIABvAGYAIABwAG8AdABhAHMAaAAgACgATQBPAFAAKQ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VQByAGUAYQAgAEEAbQBtAG8AbgBpAHUAbQAgAG4AaQB0AHIAYQB0AGUAIAAoAFUAQQBOACAAMwAyAC0AMAAtADAAKQBcACIALABcACIATABcACIALAAxAC4AMwAyACwAXAAiAFwAIgAsAFwAIgBDAGgAaQBuAGEAXAAiACwAXAAiAEMAaABpAG4AYQ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A7AFwAbgBcACIAUgBpAHMAcwBvAC0AQwBoAGUAbQBpAGMAYQBsAFwAIgAsAFwAIgBQAG8AbAB5AHAAZQBwAHQAaQBkAGUAIABVAHIAZQBhAFwAIgAsAFwAIgBrAGcAXAAiACwAMQAsAFwAIgBcACIALABcACIAQwBoAGkAbgBhAFwAIgAsAFwAIgBcACIALAA0ADYALABcACIAXAAiACwAXAAiAFwAIgAsAFwAIgBcACIALABcACIAVQByAGUAYQBcACIALAAxACwAXAAiAFAAbwBsAHkAcABlAHAAdABpAGQAZQAgACgAYQBtAGkAbgBvACAAYQBjAGkAZABzACkAXAAiACwAMA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QwBBAEwAQwBJAE4ASQBUAFwAIgAsAFwAIgBrAGcAXAAiACwAMQAsAFwAIgBcACIALABcACIAXAAiACwAXAAiAFwAIgAsADEANQAuADUALABcACIAXAAiACwAXAAiAFwAIgAsAFwAIgBcACIALABcACIAQwBhAGwAYwBpAHUAbQAgAG4AaQB0AHIAYQB0AGUAXAAiACwAMQAsAFwAIgBcACIALABcACIAXAAi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EwAaQB2AGEAIABOAEkAVABSAEEAQgBPAFIAXAAiACwAXAAiAGsAZwBcACIALAAxACwAXAAiAFwAIgAsAFwAIgBcACIALABcACIAXAAiACwAMQA1AC4ANAAsAFwAIgBcACIALABcACIAXAAiACwAXAAiAFwAIgAsAFwAIgBDAGEAbABjAGkAdQBtACAAbgBpAHQAcgBhAHQAZQBcACIALAAwAC4AOQA5ADMANQA0ADgALABcACIAQgBvAHIAbwBuAFwAIgAsADAALgAwADAAMw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NAGkAbABhACAAQwBPAE0AUABMAEUAWABcACIALABcACIAawBnAFwAIgAsADEALABcACIAXAAiACwAXAAiAFwAIgAsAFwAIgBcACIALAAxADIALAA1ACwAMQA1ACwAOAAsAFwAIgBOAGkAdAByAG8AZwBlAG4AIAAtACAATgBpAHQAcgBhAHQAZQBcACIALAAwAC4AMAA1ACwAXAAiAE4AaQB0AHIAbwBnAGUAbgAgAC0AIABBAG0AbQBvAG4AaQBhAGMAYQBsAFwAIgAsADAALgAwADcALABcACIAUABoAG8AcwBwAGgAbwByAHUAcwAgAC0AIABHAGUAbgBlAHIAaQBjAFwAIgAsADAALgAwADUALABcACIAUABvAHQAYQBzAHMAaQB1AG0AIAAtACAARwBlAG4AZQByAGkAYwBcACIALAAwAC4AMQA1ACwAXAAiAFMAdQBsAGYAdQByACAALQAgAEcAZQBuAGUAcgBpAGMAXAAiACwAMAAuADAAOAAsAFwAIgBNAGEAZwBuAGUAcwBpAHUAbQBcACIALAAwAC4AMAAxADYALABcACIAWgBpAG4AYwBcACIALAAwAC4AMAAwADAAMgAsAFwAIgBCAG8AcgBvAG4AXAAiACwAMAAuADAAMAAwADEANQAsAFwAIgBcACIALABcACIAXAAiACwAXAAiAFwAIgAsAFwAIgBcACIAOwBcAG4AXAAiAFkAYQByAGEAIABBAHUAcwB0AHIAYQBsAGkAYQBcACIALABcACIAWQBhAHIAYQBSAGUAZwBhACAAOQAtADAALQAzADAAIAAoADEANAApAFwAIgAsAFwAIgBrAGcAXAAiACwAMQAsAFwAIgBcACIALABcACIAXAAiACwAXAAiAFwAIgAsADkALABcACIAXAAiACwAMwAwACwAMQA0ACwAXAAiAFAAbwB0AGEAcwBzAGkAdQBtACAALQAgAEcAZQBuAGUAcgBpAGMAXAAiACwAMAAuADMALABcACIAUwB1AGwAZgB1AHIAIAAtACAARwBlAG4AZQByAGkAYwBcACIALAAwAC4AMQA0ACwAXAAiAE4AaQB0AHIAbwBnAGUAbgAgAC0AIABOAGkAdAByAGEAdABlAFwAIgAsADAALgAwADQANQAsAFwAIgBOAGkAdAByAG8AZwBlAG4AIAAtACAAQQBtAG0AbwBuAGkAYQBjAGEAbABcACIALAAwAC4AMAA0ADUALABcACIAXAAiACwAXAAiAFwAIgAsAFwAIgBcACIALABcACIAXAAiACwAXAAiAFwAIgAsAFwAIgBcACIALABcACIAXAAiACwAXAAiAFwAIgAsAFwAIgBcACIALABcACIAXAAiACwAXAAiAFwAIgAsAFwAIgBcACIAOwBcAG4AXAAiAFkAYQByAGEAIABBAHUAcwB0AHIAYQBsAGkAYQBcACIALABcACIAWQBhAHIAYQBSAGUAZwBhACAAMQAzAC0AMgAtADIAMQBcACIALABcACIAawBnAFwAIgAsADEALABcACIAXAAiACwAXAAiAFwAIgAsAFwAIgBcACIALAAxADMALAAxAC4ANwA1ACwAMgAxACwAMQAwAC4AOAAsAFwAIgBQAG8AdABhAHMAcwBpAHUAbQAgAC0AIABHAGUAbgBlAHIAaQBjAFwAIgAsADAALgAyADEALABcACIAUwB1AGwAZgB1AHIAIAAtACAARwBlAG4AZQByAGkAYwBcACIALAAwAC4AMQAwADgALABcACIATgBpAHQAcgBvAGcAZQBuACAALQAgAEEAbQBtAG8AbgBpAGEAYwBhAGwAXAAiACwAMAAuADAANwA3ACwAXAAiAE4AaQB0AHIAbwBnAGUAbgAgAC0AIABOAGkAdAByAGEAdABlAFwAIgAsADAALgAwADUAMwAsAFwAIgBQAGgAbwBzAHAAaABvAHIAdQBzACAALQAgAEcAZQBuAGUAcgBpAGMAXAAiACwAMAAuADAAMQA3ADUALABcACIATQBhAGcAbgBlAHMAaQB1AG0AXAAiACwAMAAuADAAMAA0ACwAXAAiAFoAaQBuAGMAXAAiACwAMAAuADAAMAAwADgALABcACIAQgBvAHIAbwBuAFwAIgAsADAALgAwADAAMAA4ACwAXAAiAFwAIgAsAFwAIgBcACIALABcACIAXAAiACwAXAAiAFwAIgA7AFwAbgBcACIAWQBhAHIAYQAgAEEAdQBzAHQAcgBhAGwAaQBhAFwAIgAsAFwAIgBZAGEAcgBhAFIAZQBnAGEAIAAxADUALQA3AC0AMQAzACAAKAA3AFMAKQBcACIALABcACIAawBnAFwAIgAsADEALABcACIAXAAiACwAXAAiAFwAIgAsAFwAIgBcACIALAAxADUALAA2AC4ANQAsADEAMgAuADUALAA3AC4AMgAsAFwAIgBOAGkAdAByAG8AZwBlAG4AIAAtACAATgBpAHQAcgBhAHQAZQBcACIALAAwAC4AMAA5ADUALABcACIAUABvAHQAYQBzAHMAaQB1AG0AIAAtACAARwBlAG4AZQByAGkAYwBcACIALAAwAC4AMQAyADUALABcACIAUwB1AGwAZgB1AHIAIAAtACAARwBlAG4AZQByAGkAYwBcACIALAAwAC4AMAA3ADIALABcACIAUABoAG8AcwBwAGgAbwByAHUAcwAgAC0AIABHAGUAbgBlAHIAaQBjAFwAIgAsADAALgAwADYANQAsAFwAIgBOAGkAdAByAG8AZwBlAG4AIAAtACAAQQBtAG0AbwBuAGkAYQBjAGEAbABcACIALAAwAC4AMAA1ADUALABcACIATQBhAGcAbgBlAHMAaQB1AG0AXAAiACwAMAAuADAAMAA2ADYALABcACIAQgBvAHIAbwBuAFwAIgAsADAALgAwADAAMQAsAFwAIgBaAGkAbgBjAFwAIgAsADAALgAwADAAMAA2ACwAXAAiAFwAIgAsAFwAIgBcACIALABcACIAXAAiACwAXAAiAFwAIgA7AFwAbgBcACIAWQBhAHIAYQAgAEEAdQBzAHQAcgBhAGwAaQBhAFwAIgAsAFwAIgBZAGEAcgBhAFQAZQByAGEAIABDAEEATABDAEkATgBJAFQAIABCAFwAIgAsAFwAIgBrAGcAXAAiACwAMQAsAFwAIgBcACIALABcACIAXAAiACwAXAAiAFwAIgAsADEANQAuADUALABcACIAXAAiACwAXAAiAFwAIgAsAFwAIgBcACIALABcACIAQwBhAGwAYwBpAHUAbQAgAG4AaQB0AHIAYQB0AGUAXAAiACwAMQAsAFwAIgBCAG8AcgBvAG4AXAAiACwAMAAuADAAMAAxACwAXAAiAFwAIgAsAFwAIgBcACIALABcACIAXAAiACwAXAAiAFwAIgAsAFwAIgBcACIALABcACIAXAAiACwAXAAiAFwAIgAsAFwAIgBcACIALABcACIAXAAiACwAXAAiAFwAIgAsAFwAIgBcACIALABcACIAXAAiACwAXAAiAFwAIgAsAFwAIgBcACIALABcACIAXAAiACwAXAAiAFwAIgA7AFwAbgBcACIAWQBhAHIAYQAgAEEAdQBzAHQAcgBhAGwAaQBhAFwAIgAsAFwAIgBZAGEAcgBhAFQAZQByAGEAIABLAFIASQBTAFQAQQAg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TABPAE4AIABSAEUARABcACIALABcACIAawBnAFwAIgAsADEALABcACIAXAAiACwAXAAiAFwAIgAsAFwAIgBcACIALAAxADIALAA1AC4AMgAsADIAOQAuADkALAAxACwAXAAiAFAAbwB0AGEAcwBzAGkAdQBtACAALQAgAEcAZQBuAGUAcgBpAGMAXAAiACwAMAAuADIAOQA5ACwAXAAiAE4AaQB0AHIAbwBnAGUAbgAgAC0AIABOAGkAdAByAGEAdABlAFwAIgAsADAALgAxADAAMQAsAFwAIgBQAGgAbwBzAHAAaABvAHIAdQBzACAALQAgAEcAZQBuAGUAcgBpAGMAXAAiACwAMAAuADAANQAyACwAXAAiAE4AaQB0AHIAbwBnAGUAbgAgAC0AIABBAG0AbQBvAG4AaQBhAGMAYQBsAFwAIgAsADAALgAwADEAOQAsAFwAIgBTAHUAbABmAHUAcgAgAC0AIABHAGUAbgBlAHIAaQBjAFwAIgAsADAALgAwADEALABcACIATQBhAGcAbgBlAHMAaQB1AG0AXAAiACwAMAAuADAAMAA2ACwAXAAiAEkAcgBvAG4AXAAiACwAMAAuADAAMAAwADcALABcACIATQBhAG4AZwBhAG4AZQBzAGUAXAAiACwAMAAuADAAMAAwADQALABcACIAWgBpAG4AYwBcACIALAAwAC4AMAAwADAAMgA1ACwAXAAiAEIAbwByAG8AbgBcACIALAAwAC4AMAAwADAAMgA1ADsAXABuAFwAIgBZAGEAcgBhACAAQQB1AHMAdAByAGEAbABpAGEAXAAiACwAXAAiAFkAYQByAGEAVABlAHIAYQAgAEsAUgBJAFMAVABBAEwATwBOACAAUwBQAEUAQwBJAEEATABcACIALABcACIAawBnAFwAIgAsADEALABcACIAXAAiACwAXAAiAFwAIgAsAFwAIgBcACIALAAxADgALAA3AC4AOQAsADEANAAuADkALAAyACwAXAAiAFAAbwB0AGEAcwBzAGkAdQBtACAALQAgAEcAZQBuAGUAcgBpAGMAXAAiACwAMAAuADEANAA5ACwAXAAiAFUAcgBlAGEAXAAiACwAMAAuADIAMQAzADAANAAzACwAXAAiAFAAaABvAHMAcABoAG8AcgB1AHMAIAAtACAARwBlAG4AZQByAGkAYwBcACIALAAwAC4AMAA3ADkALABcACIATgBpAHQAcgBvAGcAZQBuACAALQAgAE4AaQB0AHIAYQB0AGUAXAAiACwAMAAuADAANAA5ACwAXAAiAE4AaQB0AHIAbwBnAGUAbgAgAC0AIABBAG0AbQBvAG4AaQBhAGMAYQBsAFwAIgAsADAALgAwADMAMwAsAFwAIgBTAHUAbABmAHUAcgAgAC0AIABHAGUAbgBlAHIAaQBjAFwAIgAsADAALgAwADIALABcACIATQBhAGcAbgBlAHMAaQB1AG0AXAAiACwAMAAuADAAMQA4ACwAXAAiAEkAcgBvAG4AXAAiACwAMAAuADAAMAAwADcALABcACIATQBhAG4AZwBhAG4AZQBzAGUAXAAiACwAMAAuADAAMAAwADQALABcACIAWgBpAG4AYwBcACIALAAwAC4AMAAwADAAMgA1AFwAbgAgACAAfQAsACAAcgAsACAAYwApAFwAbgAgACkAKQAp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0AFwAbgA9AEwAQQBNAEIARABBACgAXABuACAATQBBAEsARQBBAFIAUgBBAFkAKAAzADAALAAgADMAMQAsAFwAbgAgAEwAQQBNAEIARABBACgAcgAsAGMALABcAG4AIAAgAEkATgBEAEUAWAAoAHsAXABuAFwAIgBJAG0AcABhAGMAdAAgAEYAZQByAHQAaQBsAGkAcwBlAHIAcwBcACIALABcACIASQBtAHAAYQBjAHQAIABTAHUAcABlAHIAIABQAG8AdABhAHMAaAAgADEAXAB1ADAAMAAyADYAMQBcACIALABcACIAawBnAFwAIgAsADEALABcACIAXAAiACwAXAAiAFwAIgAsAFwAIgBcACIALABcACIAXAAiACwANAAuADQALAAyADUALAA1AC4ANQAsAFwAIgBTAGkAbgBnAGwAZQAgAHMAdQBwAGUAcgBwAGgAbwBzAHAAaABhAHQAZQAgACgAUwBTAFAAKQBcACIALAAwAC4ANQAsAFwAIgBNAHUAcgBpAGEAdABlACAAbwBmACAAcABvAHQAYQBzAGgAIAAoAE0ATwBQACkAXAAiACwAMAAu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IAXAB1ADAAMAAyAD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FwAdQAwADAAMgA2ADEAXAAiACwAXAAiAGsAZwBcACIALAAxACwAXAAiAFwAIgAsAFwAIgBcACIALABcACIAXAAiACwAXAAiAFwAIgAsADYALgA1ADgALAAxADIALgA1ACwAOAAuADIAMgAsAFwAIgBTAGkAbgBnAGwAZQAgAHMAdQBwAGUAcgBwAGgAbwBzAHAAaABhAHQAZQAgACgAUwBTAFAAKQBcACIALAAwAC4ANwA0ADcAMwA2ADgALABcACIATQB1AHIAaQBhAHQAZQAgAG8AZgAgAHAAbwB0AGEAcwBoACAAKABNAE8AUAApAFwAIgAsADAALgAyADU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QAXAB1ADAAMAAyADYAMQBcACIALABcACIAawBnAFwAIgAsADEALABcACIAXAAiACwAXAAiAFwAIgAsAFwAIgBcACIALABcACIAXAAiACwANwAuADAANAAsADEAMAAsADgALgA4ACwAXAAiAFMAaQBuAGcAbABlACAAcwB1AHAAZQByAHAAaABvAHMAcABoAGEAdABlACAAKABTAFMAUAApAFwAIgAsADAALgA4ACwAXAAiAE0AdQByAGkAYQB0AGUAIABvAGYAIABwAG8AdABhAHMAaAAgACgATQBPAFAAKQBcACIALAAwAC4AM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QBcAHUAMAAwADIAN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FwAdQAwADAAMgA2ACAAUABvAHQAYQBzAGgAIAAzADoAMQBcACIALABcACIAawBnAFwAIgAsADEALABcACIAXAAiACwAXAAiAFwAIgAsAFwAIgBcACIALABcACIAXAAiACwANQAuADUALAAxADUALAA2AC4AOAA4ACwAXAAiAFMAaQBuAGcAbABlACAAcwB1AHAAZQByAHAAaABvAHMAcABoAGEAdABlACAAKABTAFMAUAApAFwAIgAsADAALgA2ADIANQAsAFwAIgBNAHUAcgBpAGEAdABlACAAbwBmACAAcABvAHQAYQBzAGgAIAAoAE0ATwBQACkAXAAiACwAMAAuADMALABcACIAXAAiACwAXAAiAFwAIgAsAFwAIgBcACIALABcACIAXAAiACwAXAAiAFwAIgAsAFwAIgBcACIALABcACIAXAAiACwAXAAiAFwAIgAsAFwAIgBcACIALABcACIAXAAiACwAXAAiAFwAIgAsAFwAIgBcACIALABcACIAXAAiACwAXAAiAFwAIgAsAFwAIgBcACIALABcACIAXAAiADsAXABuAFwAIgBZAGEAcgBhAFwAIgAsAFwAIgBZAGEAcgBhAEIAZQBsAGEAIABDAEEATgAtADIANwBcACIALABcACIAawBnAFwAIgAsADEALABcACIAXAAiACwAXAAiAFwAIgAsAFwAIgBcACIALAAyADcALABcACIAXAAiACwAXAAiAFwAIgAsAFwAIgBcACIALABcACIAQwBhAGwAYwBpAHUAbQAgAGEAbQBtAG8AbgBpAHUAbQAgAG4AaQB0AHIAYQB0AGUAIAAoAEMAQQBO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hAGwALQBHAHIAYQBuACAAQQBmAHQAZQByAGcAcgBhAHoAZQBcACIALABcACIAawBnAFwAIgAsADEALABcACIAXAAiACwAXAAiAFwAIgAsAFwAIgBcACIALAAyADAALgA2ACwAMwAsADcALgA1ACwAMwAuADgALABcACIATgBpAHQAcgBvAGcAZQBuACAALQAgAE4AaQB0AHIAYQB0AGUAXAAiACwAMAAuADAANgA0ACwAXAAiAE4AaQB0AHIAbwBnAGUAbgAgAC0AIABBAG0AbQBvAG4AaQBhAGMAYQBsAFwAIgAsADAALgAxADQAMgAsAFwAIgBQAGgAbwBzAHAAaABvAHIAdQBzACAALQAgAEcAZQBuAGUAcgBpAGMAXAAiACwAMAAuADAAMwAsAFwAIgBQAG8AdABhAHMAcwBpAHUAbQAgAC0AIABHAGUAbgBlAHIAaQBjAFwAIgAsADAALgAwADcANQAsAFwAIgBTAHUAbABmAHUAcgAgAC0AIABHAGUAbgBlAHIAaQBjAFwAIgAsADAALgAwADMAOAAsAFwAIgBDAGEAbABjAGkAdQBtAFwAIgAsADAALgAwADQANAAsAFwAIgBcACIALABcACIAXAAiACwAXAAiAFwAIgAsAFwAIgBcACIALABcACIAXAAiACwAXAAiAFwAIgAsAFwAIgBcACIALABcACIAXAAiADsAXABuAFwAIgBJAG4AYwBpAHQAZQBjACAAUABpAHYAbwB0ACAARgBlAHIAdABpAGwAaQBzAGUAcgBzAFwAIgAsAFwAIgBDAGEAbAAtAEcAcgBhAG4AIABQAHIAbwBkAHIAZQBzAHMAXAAiACwAXAAiAGsAZwBcACIALAAxACwAXAAiAFwAIgAsAFwAIgBcACIALABcACIAXAAiACwAMQA3AC4AOAAsADEALAAxADUALAAyAC4ANQAsAFwAIgBOAGkAdAByAG8AZwBlAG4AIAAtACAATgBpAHQAcgBhAHQAZQBcACIALAAwAC4AMAA1ADUALABcACIATgBpAHQAcgBvAGcAZQBuACAALQAgAEEAbQBtAG8AbgBpAGEAYwBhAGwAXAAiACwAMAAuADEAMgAzACwAXAAiAFAAaABvAHMAcABoAG8AcgB1AHMAIAAtACAARwBlAG4AZQByAGkAYwBcACIALAAwAC4AMAAxACwAXAAiAFAAbwB0AGEAcwBzAGkAdQBtACAALQAgAEcAZQBuAGUAcgBpAGMAXAAiACwAMAAuADEANQAsAFwAIgBTAHUAbABmAHUAcgAgAC0AIABHAGUAbgBlAHIAaQBjAFwAIgAsADAALgAwADIANQAsAFwAIgBDAGEAbABjAGkAdQBtAFwAIgAsADAALgAwADQANAAsAFwAIgBcACIALABcACIAXAAiACwAXAAiAFwAIgAsAFwAIgBcACIALABcACIAXAAiACwAXAAiAFwAIgAsAFwAIgBcACIALABcACIAXAAiADsAXABuAFwAIgBXAGUAbgBnAGYAdQAgAEEAdQBzAHQAcgBhAGwAaQBhAFwAIgAsAFwAIgBXAGUAbgBnAGYAdQAgAFAAcgBpAG0AZQBaAGkAbgBjACAAMQAwAFwAIgAsAFwAIgBrAGcAXAAiACwAMQAsAFwAIgBcACIALABcACIAXAAiACwAXAAiAFwAIgAsADEAMAAsADIAMgAsAFwAIgBcACIALAAxAC4ANQAsAFwAIgBOAGkAdAByAG8AZwBlAG4AIAAtACAARwBlAG4AZQByAGkAYwBcACIALAAwAC4AMQAsAFwAIgBQAGgAbwBzAHAAaABvAHIAdQBzACAALQAgAEcAZQBuAGUAcgBpAGMAXAAiACwAMAAuADIAMgAsAFwAIgBTAHUAbABmAHUAcgAgAC0AIABHAGUAbgBlAHIAaQBjAFwAIgAsADAALgAwADEANQAsAFwAIgBaAGkAbgBjAFwAIgAsADAALgAwADEALABcACIAXAAiACwAXAAiAFwAIgAsAFwAIgBcACIALABcACIAXAAiACwAXAAiAFwAIgAsAFwAIgBcACIALABcACIAXAAiACwAXAAiAFwAIgAsAFwAIgBcACIALABcACIAXAAiACwAXAAiAFwAIgAsAFwAIgBcACIAOwBcAG4AXAAiAFcAZQBuAGcAZgB1ACAAQQB1AHMAdAByAGEAbABpAGEAXAAiACwAXAAiAFcAZQBuAGcAZgB1ACAAUABhAHMAdAB1AHIAZQAgAEsAaQBuAGcAXAAiACwAXAAiAGsAZwBcACIALAAxACwAXAAiAFwAIgAsAFwAIgBcACIALABcACIAXAAiACwAXAAiAFwAIgAsADEANQAuADcALABcACIAXAAiACwANAAuADYALABcACIAUABoAG8AcwBwAGgAbwByAHUAcwAgAC0AIABHAGUAbgBlAHIAaQBjAFwAIgAsADAALgAxADUANwAsAFwAIgBTAHUAbABmAHUAcgAgAC0AIABHAGUAbgBlAHIAaQBjAFwAIgAsADAALgAwADQANgAsAFwAIgBDAGEAbABjAGkAdQBtAFwAIgAsADAALgAxADQALABcACIAXAAiACwAXAAiAFwAIgAsAFwAIgBcACIALABcACIAXAAiACwAXAAiAFwAIgAsAFwAIgBcACIALABcACIAXAAiACwAXAAiAFwAIgAsAFwAIgBcACIALABcACIAXAAiACwAXAAiAFwAIgAsAFwAIgBcACIALABcACIAXAAiACwAXAAiAFwAIgA7AFwAbgBcACIAVwBlAG4AZwBmAHUAIABBAHUAcwB0AHIAYQBsAGkAYQBcACIALABcACIAVwBlAG4AZwBmAHUAIABTAHUAUwB0AGEAaQBuAFwAIgAsAFwAIgBrAGcAXAAiACwAMQAsAFwAIgBcACIALABcACIAXAAiACwAXAAiAFwAIgAsAFwAIgBcACIALABcACIAXAAiACwAXAAiAFwAIgAsADkAMAAsAFwAIgBTAHUAbABmAHUAcgAgAC0AIABHAGUAbgBlAHIAaQBjAFwAIgAsADAALgA5ACwAXAAiAFwAIgAsAFwAIgBcACI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bABhAG0AXAAiACwAXAAiAGsAZwBcACIALAAxACwAXAAiAFwAIgAsAFwAIgBcACIALABcACIAXAAiACwAMQA5AC4ANQAsADAALgA3ACwAXAAiAFwAIgAsADIAMwAsAFwAIgBOAGkAdAByAG8AZwBlAG4AIAAtACAARwBlAG4AZQByAGkAYwBcACIALAAwAC4AMQA5ADUALABcACIAUABoAG8AcwBwAGgAbwByAHUAcwAgAC0AIABHAGUAbgBlAHIAaQBjAFwAIgAsADAALgAwADAANwAsAFwAIgBTAHUAbABmAHUAcgAgAC0AIABHAGUAbgBlAHIAaQBjAFwAIgAsADAALgAyADMALABcACIAXAAiACwAXAAiAFwAIgAsAFwAIgBcACIALABcACIAXAAiACwAXAAiAFwAIgAsAFwAIgBcACIALABcACIAXAAiACwAXAAiAFwAIgAsAFwAIgBcACIALABcACIAXAAiACwAXAAiAFwAIgAsAFwAIgBcACIALABcACIAXAAiACwAXAAiAFwAIgA7AFwAbgBcACIAVwBlAG4AZwBmAHUAIABBAHUAcwB0AHIAYQBsAGkAYQBcACIALABcACIAVwBlAG4AZwBmAHUAIABQAHIAaQBtAGUAIABNAFMAWgBcACIALABcACIAawBnAFwAIgAsADEALABcACIAXAAiACwAXAAiAFwAIgAsAFwAIgBcACIALAAxADAALAAxADgALABcACIAXAAiACwAOAAsAFwAIgBOAGkAdAByAG8AZwBlAG4AIAAtACAARwBlAG4AZQByAGkAYwBcACIALAAwAC4AMQAsAFwAIgBQAGgAbwBzAHAAaABvAHIAdQBzACAALQAgAEcAZQBuAGUAcgBpAGMAXAAiACwAMAAuADEAOAAsAFwAIgBTAHUAbABmAHUAcgAgAC0AIABHAGUAbgBlAHIAaQBjAFwAIgAsADAALgAwADgALABcACIAWgBpAG4AYwBcACIALAAwAC4AMAAwADUALABcACIAXAAiACwAXAAiAFwAIgAsAFwAIgBcACIALABcACIAXAAiACwAXAAiAFwAIgAsAFwAIgBcACIALABcACIAXAAiACwAXAAiAFwAIgAsAFwAIgBcACIALABcACIAXAAiACwAXAAiAFwAIgAsAFwAIgBcACIAOwBcAG4AXAAiAFcAZQBuAGcAZgB1ACAAQQB1AHMAdAByAGEAbABpAGEAXAAiACwAXAAiAFcAZQBuAGcAZgB1ACAAOQAtADIAMAAtADAALQAxADAAIABNAEEAUAAgAFMAdQBTAHQAYQBpAG4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xADUALQAxADcALQAwAC0AMQA1ACAARABBAFAAIABTAHUAUwB0AGEAaQBuAFwAIgAsAFwAIgBrAGcAXAAiACwAMQAsAFwAIgBcACIALABcACIAXAAiACwAXAAiAFwAIgAsADEANQAuADIALAAxADYALgA5ACwAMAAsADEANQAuADIALABcACIATgBpAHQAcgBvAGcAZQBuACAALQAgAEcAZQBuAGUAcgBpAGMAXAAiACwAMAAuADEANQAyACwAXAAiAFAAaABvAHMAcABoAG8AcgB1AHMAIAAtACAARwBlAG4AZQByAGkAYwBcACIALAAwAC4AMQA2ADkALABcACIAUwB1AGwAZgB1AHIAIAAtACAARwBlAG4AZQByAGkAYwBcACIALAAwAC4AMQA1ADIALABcACIAXAAiACwAXAAiAFwAIgAsAFwAIgBcACIALABcACIAXAAiACwAXAAiAFwAIgAsAFwAIgBcACIALABcACIAXAAiACwAXAAiAFwAIgAsAFwAIgBcACIALABcACIAXAAiACwAXAAiAFwAIgAsAFwAIgBcACIALABcACIAXAAiACwAXAAiAFwAIgA7AFwAbgBcACIAVwBlAG4AZwBmAHUAIABBAHUAcwB0AHIAYQBsAGkAYQBcACIALABcACIAVwBlAG4AZwBmAHUAIAAxADYALQAxADgALQAwAC0AMQAwACAARABBAFAAIABTAHUAUwB0AGEAaQBuAFwAIgAsAFwAIgBrAGcAXAAiACwAMQAsAFwAIgBcACIALABcACIAXAAiACwAXAAiAFwAIgAsADEANgAuADIALAAxADgALAAwACwAMQAwAC4ANAAsAFwAIgBOAGkAdAByAG8AZwBlAG4AIAAtACAARwBlAG4AZQByAGkAYwBcACIALAAwAC4AMQA2ADIALABcACIAUABoAG8AcwBwAGgAbwByAHUAcwAgAC0AIABHAGUAbgBlAHIAaQBjAFwAIgAsADAALgAxADgALABcACIAUwB1AGwAZgB1AHIAIAAtACAARwBlAG4AZQByAGkAYwBcACIALAAwAC4AMQAwADQALABcACIAXAAiACwAXAAiAFwAIgAsAFwAIgBcACIALABcACIAXAAiACwAXAAiAFwAIgAsAFwAIgBcACIALABcACIAXAAiACwAXAAiAFwAIgAsAFwAIgBcACIALABcACIAXAAiACwAXAAiAFwAIgAsAFwAIgBcACIALABcACIAXAAiACwAXAAiAFwAIgA7AFwAbgBcACIAVwBlAG4AZwBmAHUAIABBAHUAcwB0AHIAYQBsAGkAYQBcACIALABcACIAVwBlAG4AZwBmAHUAIAA1AC0AMQA1AC0AMAAtADYAIABGAGEAcwB0ACAAUwB0AGEAcgB0ACAATABlAGcAdQBtAGUAXAAiACwAXAAiAGsAZwBcACIALAAxACwAXAAiAFwAIgAsAFwAIgBcACIALABcACIAXAAiACwANQAsADEANQAuADQALAAwACwANgAuADMALABcACIATgBpAHQAcgBvAGcAZQBuACAALQAgAEcAZQBuAGUAcgBpAGMAXAAiACwAMAAuADAANQAsAFwAIgBQAGgAbwBzAHAAaABvAHIAdQBzACAALQAgAEcAZQBuAGUAcgBpAGMAXAAiACwAMAAuADEANQA0ACwAXAAiAFMAdQBsAGYAdQByACAALQAgAEcAZQBuAGUAcgBpAGMAXAAiACwAMAAuADAANgAzACwAXAAiAFwAIgAsAFwAIgBcACIALABcACIAXAAiACwAXAAiAFwAIgAsAFwAIgBcACIALABcACIAXAAiACwAXAAiAFwAIgAsAFwAIgBcACIALABcACIAXAAiACwAXAAiAFwAIgAsAFwAIgBcACIALABcACIAXAAiACwAXAAiAFwAIgAsAFwAIgBcACIAOwBcAG4AXAAiAFcAZQBuAGcAZgB1ACAAQQB1AHMAdAByAGEAbABpAGEAXAAiACwAXAAiAFcAZQBuAGcAZgB1ACAAOQAtADIAMAAtADAALQAxADAAIABQAHIAaQBtAGUAWgBpAG4AYw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aAGkAbgBjAFwAIgAsADAALgAwADAAOQAsAFwAIgBcACIALABcACIAXAAiACwAXAAiAFwAIgAsAFwAIgBcACIALABcACIAXAAiACwAXAAiAFwAIgAsAFwAIgBcACIALABcACIAXAAiACwAXAAiAFwAIgAsAFwAIgBcACIALABcACIAXAAiACwAXAAiAFwAIgA7AFwAbgBcACIAVwBlAG4AZwBmAHUAIABBAHUAcwB0AHIAYQBsAGkAYQBcACIALABcACIAVwBlAG4AZwBmAHUAIAAxADIALQAxADgALQAwAC0ANgAgAFAAcgBpAG0AZQBaAGkAbgBjAFwAIgAsAFwAIgBrAGcAXAAiACwAMQAsAFwAIgBcACIALABcACIAXAAiACwAXAAiAFwAIgAsADEAMQAuADkALAAxADcALgA2ACwAMAAsADUALgA5ACwAXAAiAE4AaQB0AHIAbwBnAGUAbgAgAC0AIABHAGUAbgBlAHIAaQBjAFwAIgAsADAALgAxADEAOQAsAFwAIgBQAGgAbwBzAHAAaABvAHIAdQBzACAALQAgAEcAZQBuAGUAcgBpAGMAXAAiACwAMAAuADEANwA2ACwAXAAiAFMAdQBsAGYAdQByACAALQAgAEcAZQBuAGUAcgBpAGMAXAAiACwAMAAuADAANQA5ACwAXAAiAFoAaQBuAGMAXAAiACwAMAAuADAAMAA4ACwAXAAiAFwAIgAsAFwAIgBcACIALABcACIAXAAiACwAXAAiAFwAIgAsAFwAIgBcACIALABcACIAXAAiACwAXAAiAFwAIgAsAFwAIgBcACIALABcACIAXAAiACwAXAAiAFwAIgAsAFwAIgBcACIALABcACIAXAAiADsAXABuAFwAIgBXAGUAbgBnAGYAdQAgAEEAdQBzAHQAcgBhAGwAaQBhAFwAIgAsAFwAIgBXAGUAbgBnAGYAdQAgADEANAAtADEAMwAtADAALQAxADEAIABQAHIAaQBtAGUAWgBpAG4AYwBcACIALABcACIAawBnAFwAIgAsADEALABcACIAXAAiACwAXAAiAFwAIgAsAFwAIgBcACIALAAxADQALgAxACwAMQAyAC4AOAAsADAALAAxADAALgA3ACwAXAAiAE4AaQB0AHIAbwBnAGUAbgAgAC0AIABHAGUAbgBlAHIAaQBjAFwAIgAsADAALgAxADQAMQAsAFwAIgBQAGgAbwBzAHAAaABvAHIAdQBzACAALQAgAEcAZQBuAGUAcgBpAGMAXAAiACwAMAAuADEAMgA4ACwAXAAiAFMAdQBsAGYAdQByACAALQAgAEcAZQBuAGUAcgBpAGMAXAAiACwAMAAuADEAMAA3ACwAXAAiAFoAaQBuAGMAXAAiACwAMAAuADAAMAA2ACwAXAAiAFwAIgAsAFwAIgBcACIALABcACIAXAAiACwAXAAiAFwAIgAsAFwAIgBcACIALABcACIAXAAiACwAXAAiAFwAIgAsAFwAIgBcACIALABcACIAXAAiACwAXAAiAFwAIgAsAFwAIgBcACIALABcACIAXAAiAFwAbgAgACAAfQAsACAAcgAsACAAYwApAFwAbgAgACkAKQApAFwAbgBcAG4AXABuAEYAZQByAHQAaQBsAGkAcwBlAHIAXwBQAHIAbwBkAHUAYwB0AHMAXwBEAGEAdABhADUAXABuAD0ATABBAE0AQgBEAEEAKABcAG4AIABNAEEASwBFAEEAUgBSAEEAWQAoADEANAAsACAAMwAxACwAXABuACAATABBAE0AQgBEAEEAKAByACwAYwAsAFwAbgAgACAASQBOAEQARQBYACgAewBcAG4AXAAiAFcAZQBuAGcAZgB1ACAAQQB1AHMAdAByAGEAbABpAGEAXAAiACwAXAAiAFcAZQBuAGcAZgB1ACAAMQA5AC0AMQAzAC0AMAAtADcAIABQAHIAaQBtAGUAWgBpAG4AYwBcACIALABcACIAawBnAFwAIgAsADEALABcACIAXAAiACwAXAAiAFwAIgAsAFwAIgBcACIALAAxADgALgA2ACwAMQAyAC4ANwAsADAALAA2AC4AOAAsAFwAIgBOAGkAdAByAG8AZwBlAG4AIAAtACAARwBlAG4AZQByAGkAYwBcACIALAAwAC4AMQA4ADYALABcACIAUABoAG8AcwBwAGgAbwByAHUAcwAgAC0AIABHAGUAbgBlAHIAaQBjAFwAIgAsADAALgAxADIANwAsAFwAIgBTAHUAbABmAHUAcgAgAC0AIABHAGUAbgBlAHIAaQBjAFwAIgAsADAALgAwADYAOAAsAFwAIgBaAGkAbgBjAFwAIgAsADAALgAwADAANgAsAFwAIgBcACIALABcACIAXAAiACwAXAAiAFwAIgAsAFwAIgBcACIALABcACIAXAAiACwAXAAiAFwAIgAsAFwAIgBcACIALABcACIAXAAiACwAXAAiAFwAIgAsAFwAIgBcACIALABcACIAXAAiACwAXAAiAFwAIgA7AFwAbgBcACIAVwBlAG4AZwBmAHUAIABBAHUAcwB0AHIAYQBsAGkAYQBcACIALABcACIAVwBlAG4AZwBmAHUAIABCAG8AbwBzAHQAZQByACAASwBcACIALABcACIAawBnAFwAIgAsADEALABcACIAXAAiACwAXAAiAFwAIgAsAFwAIgBcACIALAAzADIALAAwACwAMQAxACwAMwAsAFwAIgBOAGkAdAByAG8AZwBlAG4AIAAtACAARwBlAG4AZQByAGkAYwBcACIALAAwAC4AMwAyACwAXAAiAFAAbwB0AGEAcwBzAGkAdQBtACAALQAgAEcAZQBuAGUAcgBpAGMAXAAiACwAMAAuADEAMQAsAFwAIgBTAHUAbABmAHUAcgAgAC0AIABHAGUAbgBlAHIAaQBjAFwAIgAsADAALgAwADMALABcACIAXAAiACwAXAAiAFwAIgAsAFwAIgBcACIALABcACIAXAAiACwAXAAiAFwAIgAsAFwAIgBcACIALABcACIAXAAiACwAXAAiAFwAIgAsAFwAIgBcACIALABcACIAXAAiACwAXAAiAFwAIgAsAFwAIgBcACIALABcACIAXAAiACwAXAAiAFwAIgA7AFwAbgBcACIAVwBlAG4AZwBmAHUAIABBAHUAcwB0AHIAYQBsAGkAYQBcACIALABcACIAVwBlAG4AZwBmAHUAIABCAG8AbwBzAHQAZQByACAAUgBpAGMAaAAgADEAXAAiACwAXAAiAGsAZwBcACIALAAxACwAXAAiAFwAIgAsAFwAIgBcACIALABcACIAXAAiACwAMwAxACwANgAsADAALAA2ACwAXAAiAE4AaQB0AHIAbwBnAGUAbgAgAC0AIABHAGUAbgBlAHIAaQBjAFwAIgAsADAALgAzADEALABcACIAUABoAG8AcwBwAGgAbwByAHUAcwAgAC0AIABHAGUAbgBlAHIAaQBjAFwAIgAsADAALgAwADYALABcACIAUwB1AGwAZgB1AHIAIAAtACAARwBlAG4AZQByAGkAYwBcACIALAAwAC4AMAA2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EcAcgBhAHMAcwAgAEQAQQBQAFwAIgAsAFwAIgBrAGcAXAAiACwAMQAsAFwAIgBcACIALABcACIAXAAiACwAXAAiAFwAIgAsADIAMQAsADQALAA4ACwANwAsAFwAIgBOAGkAdAByAG8AZwBlAG4AIAAtACAARwBlAG4AZQByAGkAYwBcACIALAAwAC4AMgAxACwAXAAiAFAAaABvAHMAcABoAG8AcgB1AHMAIAAtACAARwBlAG4AZQByAGkAYwBcACIALAAwAC4AMAA0ACwAXAAiAFAAbwB0AGEAcwBzAGkAdQBtACAALQAgAEcAZQBuAGUAcgBpAGMAXAAiACwAMAAuADAAOAAsAFwAIgBTAHUAbABmAHUAcgAgAC0AIABHAGUAbgBlAHIAaQBjAFwAIgAsADAALgAwADcALABcACIAXAAiACwAXAAiAFwAIgAsAFwAIgBcACIALABcACIAXAAiACwAXAAiAFwAIgAsAFwAIgBcACIALABcACIAXAAiACwAXAAiAFwAIgAsAFwAIgBcACIALABcACIAXAAiACwAXAAiAFwAIgAsAFwAIgBcACIAOwBcAG4AXAAiAFcAZQBuAGcAZgB1ACAAQQB1AHMAdAByAGEAbABpAGEAXAAiACwAXAAiAFcAZQBuAGcAZgB1ACAAQQBmAHQAZQByAGcAcgBhAHoAZQBcACIALABcACIAawBnAFwAIgAsADEALABcACIAXAAiACwAXAAiAFwAIgAsAFwAIgBcACIALAAyADMALAAwACwAMgA1ACwAMAAsAFwAIgBOAGkAdAByAG8AZwBlAG4AIAAtACAARwBlAG4AZQByAGkAYwBcACIALAAwAC4AMgAzACwAXAAiAFAAbwB0AGEAcwBzAGkAdQBtACAALQAgAEcAZQBuAGUAcgBpAGMAXAAiACwAMAAuADIANQ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pAGQAZQBkAHIAZQBzAHMAXAAiACwAXAAiAGsAZwBcACIALAAxACwAXAAiAFwAIgAsAFwAIgBcACIALABcACIAXAAiACwAMgA1ACwANAAsADEAMwAsADQALABcACIATgBpAHQAcgBvAGcAZQBuACAALQAgAEcAZQBuAGUAcgBpAGMAXAAiACwAMAAuADIANQAsAFwAIgBQAGgAbwBzAHAAaABvAHIAdQBzACAALQAgAEcAZQBuAGUAcgBpAGMAXAAiACwAMAAuADAANAAsAFwAIgBQAG8AdABhAHMAcwBpAHUAbQAgAC0AIABHAGUAbgBlAHIAaQBjAFwAIgAsADAALgAxADM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FAAYQBzAHQAdQByAGUAIABCAG8AbwBzAHQAZQByAFwAIgAsAFwAIgBrAGcAXAAiACwAMQAsAFwAIgBcACIALABcACIAXAAiACwAXAAiAFwAIgAsADEAMwAsADUALAAyADQALAA1ACwAXAAiAE4AaQB0AHIAbwBnAGUAbgAgAC0AIABHAGUAbgBlAHIAaQBjAFwAIgAsADAALgAxADMALABcACIAUABoAG8AcwBwAGgAbwByAHUAcwAgAC0AIABHAGUAbgBlAHIAaQBjAFwAIgAsADAALgAwADUALABcACIAUABvAHQAYQBzAHMAaQB1AG0AIAAtACAARwBlAG4AZQByAGkAYwBcACIALAAwAC4AMgA0ACwAXAAiAFMAdQBsAGYAdQByACAALQAgAEcAZQBuAGUAcgBpAGMAXAAiACwAMAAuADAANQAsAFwAIgBcACIALABcACIAXAAiACwAXAAiAFwAIgAsAFwAIgBcACIALABcACIAXAAiACwAXAAiAFwAIgAsAFwAIgBcACIALABcACIAXAAiACwAXAAiAFwAIgAsAFwAIgBcACIALABcACIAXAAiACwAXAAiAFwAIgA7AFwAbgBcACIAVwBlAG4AZwBmAHUAIABBAHUAcwB0AHIAYQBsAGkAYQBcACIALABcACIAVwBlAG4AZwBmAHUAIABEAEEAUAAgAEgAYQB5ACAAQgBvAG8AcwB0AGUAcgBcACIALABcACIAawBnAFwAIgAsADEALABcACIAXAAiACwAXAAiAFwAIgAsAFwAIgBcACIALAAxADEALAA1ACwAMgA0ACwANAAsAFwAIgBOAGkAdAByAG8AZwBlAG4AIAAtACAARwBlAG4AZQByAGkAYwBcACIALAAwAC4AMQAxACwAXAAiAFAAaABvAHMAcABoAG8AcgB1AHMAIAAtACAARwBlAG4AZQByAGkAYwBcACIALAAwAC4AMAA1ACwAXAAiAFAAbwB0AGEAcwBzAGkAdQBtACAALQAgAEcAZQBuAGUAcgBpAGMAXAAiACwAMAAuADIANAAsAFwAIgBTAHUAbABmAHUAcgAgAC0AIABHAGUAbgBlAHIAaQBjAFwAIgAsADAALgAwADQALABcACIAXAAiACwAXAAiAFwAIgAsAFwAIgBcACIALABcACIAXAAiACwAXAAiAFwAIgAsAFwAIgBcACIALABcACIAXAAiACwAXAAiAFwAIgAsAFwAIgBcACIALABcACIAXAAiACwAXAAiAFwAIgAsAFwAIgBcACIAOwBcAG4AXAAiAFcAZQBuAGcAZgB1ACAAQQB1AHMAdAByAGEAbABpAGEAXAAiACwAXAAiAFcAZQBuAGcAZgB1ACAATQBBAFAAIABIAGEAeQAgAEIAbwBvAHMAdABlAHIAXAAiACwAXAAiAGsAZwBcACIALAAxACwAXAAiAFwAIgAsAFwAIgBcACIALABcACIAXAAiACwAMQAxACwAOAAsADIAMAAsADYALABcACIATgBpAHQAcgBvAGcAZQBuACAALQAgAEcAZQBuAGUAcgBpAGMAXAAiACwAMAAuADEAMQAsAFwAIgBQAGgAbwBzAHAAaABvAHIAdQBzACAALQAgAEcAZQBuAGUAcgBpAGMAXAAiACwAMAAuADAAOAAsAFwAIgBQAG8AdABhAHMAcwBpAHUAbQAgAC0AIABHAGUAbgBlAHIAaQBjAFwAIgAsADAALgAyACwAXAAiAFMAdQBsAGYAdQByACAALQAgAEcAZQBuAGUAcgBpAGMAXAAiACwAMAAuADAANgAsAFwAIgBcACIALABcACIAXAAiACwAXAAiAFwAIgAsAFwAIgBcACIALABcACIAXAAiACwAXAAiAFwAIgAsAFwAIgBcACIALABcACIAXAAiACwAXAAiAFwAIgAsAFwAIgBcACIALABcACIAXAAiACwAXAAiAFwAIgA7AFwAbgBcACIAVwBlAG4AZwBmAHUAIABBAHUAcwB0AHIAYQBsAGkAYQBcACIALABcACIAVwBlAG4AZwBmAHUAIABGAG8AZABkAGUAcgAgAEIAbwBvAHMAdABlAHIAXAAiACwAXAAiAGsAZwBcACIALAAxACwAXAAiAFwAIgAsAFwAIgBcACIALABcACIAXAAiACwAOQAsADQALAA1ACwAMQA1ACwAXAAiAE4AaQB0AHIAbwBnAGUAbgAgAC0AIABHAGUAbgBlAHIAaQBjAFwAIgAsADAALgAwADkALABcACIAUABoAG8AcwBwAGgAbwByAHUAcwAgAC0AIABHAGUAbgBlAHIAaQBjAFwAIgAsADAALgAwADQALABcACIAUABvAHQAYQBzAHMAaQB1AG0AIAAtACAARwBlAG4AZQByAGkAYwBcACIALAAwAC4AMAA1ACwAXAAiAFMAdQBsAGYAdQByACAALQAgAEcAZQBuAGUAcgBpAGMAXAAiACwAMAAuADEANQAsAFwAIgBcACIALABcACIAXAAiACwAXAAiAFwAIgAsAFwAIgBcACIALABcACIAXAAiACwAXAAiAFwAIgAsAFwAIgBcACIALABcACIAXAAiACwAXAAiAFwAIgAsAFwAIgBcACIALABcACIAXAAiACwAXAAiAFwAIgA7AFwAbgBcACIAQwBTAEIAUABcACIALABcACIASwAtAFQAaQBsAGwAIABFAHgAdAByAGEAXAAiACwAXAAiAGsAZwBcACIALAAxACwAXAAiAFwAIgAsAFwAIgBcACIALABcACIAXAAiACwAMQAwAC4ANwAzACwAMQAwAC4AOQA1ACwAMQAxAC4AMwA1ACwANgAuADUANQAsAFwAIgBNAG8AbgBvAGEAbQBtAG8AbgBpAHUAbQAgAHAAaABvAHMAcABoAGEAdABlACAAKABNAEEAUAApAFwAIgAsADAALgA1ACwAXAAiAFMAdQBsAHAAaABhAHQAZQAgAG8AZgAgAGEAbQBtAG8AbgBpAGEAIAAoAFMATwBBACkAXAAiACwAMAAuADIANwAzACwAXAAiAE0AdQByAGkAYQB0AGUAIABvAGYAIABwAG8AdABhAHMAaAAgACgATQBPAFAAKQBcACIALAAwAC4AMgAyADcALABcACIAQwBvAHAAcABlAHIAXAAiACwAXAAiAE4AbwAgAGQAYQB0AGEAXAAiACwAXAAiAFoAaQBuAGMAXAAiACwAXAAiAE4AbwAgAGQAYQB0AGEAXAAiACwAXAAiAFwAIgAsAFwAIgBcACIALABcACIAXAAiACwAXAAiAFwAIgAsAFwAIgBcACIALABcACIAXAAiACwAXAAiAFwAIgAsAFwAIgBcACIALABcACIAXAAiACwAXAAiAFwAIgA7AFwAbgBcACIAQwBTAEIAUABcACIALABcACIAQQBnAHIAYQBzACAARQB4AHQAcgBhAFwAIgAsAFwAIgBrAGcAXAAiACwAMQAsAFwAIgBcACIALABcACIAXAAiACwAXAAiAFwAIgAsADEANgAuADkANQAsADgALgAwADYALABcACIAXAAiACwAMQA1AC4AMQA3ACwAXAAiAFMAdQBsAHAAaABhAHQAZQAgAG8AZgAgAGEAbQBtAG8AbgBpAGEAIAAoAFMATwBBACkAXAAiACwAMAAuADYAMwAyACwAXAAiAE0AbwBuAG8AYQBtAG0AbwBuAGkAdQBtACAAcABoAG8AcwBwAGgAYQB0AGUAIAAoAE0AQQBQACkAXAAiACwAMAAuADMANgA4ACwAXAAiAFoAaQBuAGMAXAAiACwAXAAiAE4AbwAgAGQAYQB0AGEAXAAiACwAXAAiAEMAbwBwAHAAZQByAFwAIgAsAFwAIgBOAG8AIABkAGEAdABhAFwAIgAsAFwAIgBNAG8AbAB5AGIAZABlAG4AdQBtAFwAIgAsAFwAIgBOAG8AIABkAGEAdABhAFwAIgAsAFwAIgBDAG8AYgBhAGwAdABcACIALABcACIATgBvACAAZABhAHQAYQBcACIALABcACIAXAAiACwAXAAiAFwAIgAsAFwAIgBcACIALABcACIAXAAiACwAXAAiAFwAIgAsAFwAIgBcACIALABcACIAXAAiACwAXAAiAFwAIgA7AFwAbgBcACIAQwBTAEIAUABcACIALABcACIAUwB1AHAAZQByACAAQwBvAHAAcABlAHIAIABaAGkAbgBjACAATQBvAGwAeQBcACIALABcACIAawBnAFwAIgAsADEALABcACIAXAAiACwAXAAiAFwAIgAsAFwAIgBcACIALABcACIAXAAiACwAOAAuADgALABcACIAXAAiACwAMQAxACwAXAAiAFMAaQBuAGcAbABlACAAcwB1AHAAZQByAHAAaABvAHMAcABoAGEAdABlACAAKABTAFMAUAApAFwAIgAsADEALABcACIAQwBvAHAAcABlAHIAXAAiACwAMAAuADAAMAA2ACwAXAAiAFoAaQBuAGMAXAAiACwAMAAuADAAMAAzACwAXAAiAE0AbwBsAHkAYgBkAGUAbgB1AG0AXAAiACwAMAAuADAAMAAwADYALABcACIAXAAiACwAXAAiAFwAIgAsAFwAIgBcACIALABcACIAXAAiACwAXAAiAFwAIgAsAFwAIgBcACIALABcACIAXAAiACwAXAAiAFwAIgAsAFwAIgBcACIALABcACIAXAAiACwAXAAiAFwAIgAsAFwAIgBcACIAOwBcAG4AXAAiAEMAUwBCAFAAXAAiACwAXAAiAEYAbABlAHgAaQAtAE4AXAAiACwAXAAiAEwAXAAiACwAMQAuADMAMgAsAFwAIgBcACIALABcACIAXAAiACwAXAAiAFwAIgAsADMAMgAsAFwAIgBcACIALABcACIAXAAiACwAXAAiAFwAIgAsAFwAIgBVAHIAZQBhAC0AYQBtAG0AbwBuAGkAdQBtACAAbgBpAHQAcgBhAHQAZQAgACgAVQBBAE4AKQBcACIALAAxACwAXAAiAFwAIgAsAFwAIgBcACIALABcACIAXAAiACwAXAAiAFwAIgAsAFwAIgBcACIALABcACIAXAAiACwAXAAiAFwAIgAsAFwAIgBcACIALABcACIAXAAiACwAXAAiAFwAIgAsAFwAIgBcACIALABcACIAXAAiACwAXAAiAFwAIgAsAFwAIgBcACIALABcACIAXAAiACwAXAAiAFwAIgAsAFwAIgBcACIALABcACIAXAAiAFwAbgAgACAAfQAsACAAcgAsACAAYwApAFwAbgAgACkAKQAp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FwAdQAwADAAMgA3AE4ALwBBAFwAdQAwADAAMgA3ACAAdgBhAGwAdQBlAHMAIABwAGEAcwBzAGUAZAAgAGEAcwAgAHoAZQByAG8AIABmAG8AcgAgAGMAYQBsAGMAdQBsAGEAdABpAG8AbgBzAC4AXAAiACkAKQA7AFwAbgBcAG4ALwAqAFwAbgA9AD0APQA9AD0APQA9AD0APQA9AD0APQA9AD0APQA9AD0APQA9AD0APQA9AD0APQA9AD0APQA9AD0APQA9AD0APQA9AD0APQA9AD0APQA9AD0APQA9AD0APQA9AD0APQA9AD0APQA9AD0APQA9AD0APQA9AD0APQA9AD0APQA9AD0APQA9AD0APQA9AD0APQA9AD0APQA9AFwAbgBDAHIAbwBwACAAYQB0AHQAcgBpAGIAdQB0AGUAcwAgAC0AIABGAHIAYQBjAHQAaQBvAG4AIAByAGUAbQBvAHYAZQBkACAAKABGAEYATwBEAGMAKQBcAG4APQA9AD0APQA9AD0APQA9AD0APQA9AD0APQA9AD0APQA9AD0APQA9AD0APQA9AD0APQA9AD0APQA9AD0APQA9AD0APQA9AD0APQA9AD0APQA9AD0APQA9AD0APQA9AD0APQA9AD0APQA9AD0APQA9AD0APQA9AD0APQA9AD0APQA9AD0APQA9AD0APQA9AD0APQA9AD0APQBcAG4AKgAvAFwAbgBcAG4AQwByAG8AcABGAHIAYQBjAHQAaQBvAG4AUgBlAG0AbwB2AGUAZABfAFQAaQB0AGwAZQBcAG4APQBMAEEATQBCAEQAQQAoACgAXAAiAFQAYQBiAGwAZQAgAEEALgAyAC4AMQAuADIAOgAgAEMAcgBvAHAAIABhAHQAdAByAGkAYgB1AHQAZQBzACAALQAgAEYAcgBhAGMAdABpAG8AbgAgAHIAZQBtAG8AdgBlAGQAIAAoAEYARgBPAEQAYwApAFwAIgApACkAOwBcAG4AXABuAEMAcgBvAHAARgByAGEAYwB0AGkAbwBuAFIAZQBtAG8AdgBlAGQAXwBEAGUAcwBjAHIAaQBwAHQAaQBvAG4AXABuAD0ATABBAE0AQgBEAEEAKAAoAFwAIgBDAHIAbwBwACAAYQB0AHQAcgBpAGIAdQB0AGUAcwAgAC0AIABGAHIAYQBjAHQAaQBvAG4AIAByAGUAbQBvAHYAZQBkACAAKABGAEYATwBEAGMAKQBcACIAKQApADsAXABuAFwAbgBDAHIAbwBwAEYAcgBhAGMAdABpAG8AbgBSAGUAbQBvAHYAZQBkAF8AUwBvAHUAcgBjAGUAXABuAD0ATABBAE0AQgBEAEEAKAAoAFwAIgBWAEUARQBSAEcAIAAyADAAMgA2ADoAIABUAGEAYgBsAGUAIABBAC4AMgAuADEALgAyADoAIABDAHIAbwBwACAAYQB0AHQAcgBpAGIAdQB0AGUAcwAgAC0AIABGAHIAYQBjAHQAaQBvAG4AIAByAGUAbQBvAHYAZQBkACAAKABGAEYATwBEAGMAKQBcACIAKQApADsAXABuAFwAbgBDAHIAbwBwAEYAcgBhAGMAdABpAG8AbgBSAGUAbQBvAHYAZQBkAF8ARABhAHQAYQBcAG4APQBMAEEATQBCAEQAQQAoAFwAbgAgACAATQBBAEsARQBBAFIAUgBBAFkAKAAxADc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QQBsAGwAIABzAHQAYQB0AGUAcwBcACIALAAgADAALgAwADYAOwBcAG4AIAAgACAAIAAgACAAIAAgAFwAIgBUAHUAYgBlAHIAcwAgAGEAbgBkACAAcgBvAG8AdABzAFwAIgAsACAAXAAiAEEAbABsACAAcwB0AGEAdABlAHMAXAAiACwAIAAxADsAXABuACAAIAAgACAAIAAgACAAIABcACIAQwBvAHQAdABvAG4AXAAiACwAIABcACIAQQBsAGwAIABzAHQAYQB0AGUAcwBcACIALAAgADAAOwBcAG4AIAAgACAAIAAgACAAIAAgAFwAIgBIAG8AcABzAFwAIgAsACAAXAAiAEEAbABsACAAcwB0AGEAdABlAHMAXAAiACwAIAAwADsAXABuACAAIAAgACAAIAAgACAAIABcACIARgBvAHIAYQBnAGUAIABjAHIAbwBwAHMAXAAiACwAIABcACIAQQBsAGwAIABzAHQAYQB0AGUAcwBcACIALAAgADAALgA4ADsAXABuACAAIAAgACAAIAAgACAAIABcACIAUwB1AGcAYQByACAAQwBhAG4AZQBcACIALAAgAFwAIgBOAFMAVwBcACIALAAgADAAOwBcAG4AIAAgACAAIAAgACAAIAAgAFwAIgBTAHUAZwBhAHIAIABDAGEAbgBlAFwAIgAsACAAXAAiAFEATABEAFwAIgAsACAAMAAuADAAMwA7AFwAbgAgACAAIAAgACAAIAAgACAAXAAiAFMAdQBnAGEAcgAgAEMAYQBuAGUAXAAiACwAIABcACIAVwBBAFwAIgAsACAAMAA7AFwAbgAgACAAIAAgACAAIAAgACAAXAAiAEEAbABsACAAbwB0AGgAZQByACAAYwByAG8AcAAgAHQAeQBwAGUAcwBcACIALAAgAFwAIgBOAFMAVwBcACIALAAgADAALgAwADUAOwBcAG4AIAAgACAAIAAgACAAIAAgAFwAIgBBAGwAbAAgAG8AdABoAGUAcgAgAGMAcgBvAHAAIAB0AHkAcABlAHMAXAAiACwAIABcACIAVgBJAEMAXAAiACwAIAAwAC4AMAA3ADsAXABuACAAIAAgACAAIAAgACAAIABcACIAQQBsAGwAIABvAHQAaABlAHIAIABjAHIAbwBwACAAdAB5AHAAZQBzAFwAIgAsACAAXAAiAFEATABEAFwAIgAsACAAMAAuADAANAA7AFwAbgAgACAAIAAgACAAIAAgACAAXAAiAEEAbABsACAAbwB0AGgAZQByACAAYwByAG8AcAAgAHQAeQBwAGUAcwBcACIALAAgAFwAIgBTAEEAXAAiACwAIAAwAC4AMAA5ADsAXABuACAAIAAgACAAIAAgACAAIABcACIAQQBsAGwAIABvAHQAaABlAHIAIABjAHIAbwBwACAAdAB5AHAAZQBzAFwAIgAsACAAXAAiAFcAQQBcACIALAAgADAALgAxADEAOwBcAG4AIAAgACAAIAAgACAAIAAgAFwAIgBBAGwAbAAgAG8AdABoAGUAcgAgAGMAcgBvAHAAIAB0AHkAcABlAHMAXAAiACwAIABcACIAVABBAFMAXAAiACwAIAAwAC4AMQA2ADsAXABuACAAIAAgACAAIAAgACAAIABcACIAQQBsAGwAIABvAHQAaABlAHIAIABjAHIAbwBwACAAdAB5AHAAZQBzAFwAIgAsACAAXAAiAE4AVABcACIALAAgADAALgAwADEAOwBcAG4AIAAgACAAIAAgACAAIAAgAFwAIgBBAGwAbAAgAG8AdABoAGUAcgAgAGMAcgBvAHAAIAB0AHkAcABlAHMAXAAiACwAIABcACIAQQBDAFQAXAAiACwAIAAwAC4AMAAwAFwAbgAgACAAIAAgACAAIAB9ACwAIAByACwAIABjACkAXABuACkAKQApADsAXABuAFwAbgBDAHIAbwBwAEYAcgBhAGMAdABpAG8AbgBSAGUAbQBvAHYAZQBkAF8AQwB1AHMAdABvAG0AaQBzAGUAZABEAGEAdABhAFwAbgA9AEwAQQBNAEIARABBACgAXABuACAAIABNAEEASwBFAEEAUgBSAEEAWQAoADEANAA0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4AUwBXAFwAIgAsACAAMAAuADAANgA7AFwAbgAgACAAIAAgACAAIAAgACAAXAAiAFIAaQBjAGUAXAAiACwAIABcACIAVgBJAEMAXAAiACwAIAAwAC4AMAA2ADsAXABuACAAIAAgACAAIAAgACAAIABcACIAUgBpAGMAZQBcACIALAAgAFwAIgBRAEwARABcACIALAAgADAALgAwADYAOwBcAG4AIAAgACAAIAAgACAAIAAgAFwAIgBSAGkAYwBlAFwAIgAsACAAXAAiAFMAQQBcACIALAAgADAALgAwADYAOwBcAG4AIAAgACAAIAAgACAAIAAgAFwAIgBSAGkAYwBlAFwAIgAsACAAXAAiAFcAQQBcACIALAAgADAALgAwADYAOwBcAG4AIAAgACAAIAAgACAAIAAgAFwAIgBSAGkAYwBlAFwAIgAsACAAXAAiAFQAQQBTAFwAIgAsACAAMAAuADAANgA7AFwAbgAgACAAIAAgACAAIAAgACAAXAAiAFIAaQBjAGUAXAAiACwAIABcACIATgBUAFwAIgAsACAAMAAuADAANgA7AFwAbgAgACAAIAAgACAAIAAgACAAXAAiAFIAaQBjAGUAXAAiACwAIABcACIAQQBDAFQAXAAiACwAIAAwAC4AMAA2ADsAXABuACAAIAAgACAAIAAgACAAIABcACIAVAB1AGIAZQByAHMAIABhAG4AZAAgAHIAbwBvAHQAcwBcACIALAAgAFwAIgBOAFMAVwBcACIALAAgADEAOwBcAG4AIAAgACAAIAAgACAAIAAgAFwAIgBUAHUAYgBlAHIAcwAgAGEAbgBkACAAcgBvAG8AdABzAFwAIgAsACAAXAAiAFYASQBDAFwAIgAsACAAMQA7AFwAbgAgACAAIAAgACAAIAAgACAAXAAiAFQAdQBiAGUAcgBzACAAYQBuAGQAIAByAG8AbwB0AHMAXAAiACwAIABcACIAUQBMAEQAXAAiACwAIAAxADsAXABuACAAIAAgACAAIAAgACAAIABcACIAVAB1AGIAZQByAHMAIABhAG4AZAAgAHIAbwBvAHQAcwBcACIALAAgAFwAIgBTAEEAXAAiACwAIAAxADsAXABuACAAIAAgACAAIAAgACAAIABcACIAVAB1AGIAZQByAHMAIABhAG4AZAAgAHIAbwBvAHQAcwBcACIALAAgAFwAIgBXAEEAXAAiACwAIAAxADsAXABuACAAIAAgACAAIAAgACAAIABcACIAVAB1AGIAZQByAHMAIABhAG4AZAAgAHIAbwBvAHQAcwBcACIALAAgAFwAIgBUAEEAUwBcACIALAAgADEAOwBcAG4AIAAgACAAIAAgACAAIAAgAFwAIgBUAHUAYgBlAHIAcwAgAGEAbgBkACAAcgBvAG8AdABzAFwAIgAsACAAXAAiAE4AVABcACIALAAgADEAOwBcAG4AIAAgACAAIAAgACAAIAAgAFwAIgBUAHUAYgBlAHIAcwAgAGEAbgBkACAAcgBvAG8AdABzAFwAIgAsACAAXAAiAEEAQwBUAFwAIgAsACAAMQA7AFwAbgAgACAAIAAgACAAIAAgACAAXAAiAEMAbwB0AHQAbwBuAFwAIgAsACAAXAAiAE4AUwBXAFwAIgAsACAAMAA7AFwAbgAgACAAIAAgACAAIAAgACAAXAAiAEMAbwB0AHQAbwBuAFwAIgAsACAAXAAiAFYASQBDAFwAIgAsACAAMAA7AFwAbgAgACAAIAAgACAAIAAgACAAXAAiAEMAbwB0AHQAbwBuAFwAIgAsACAAXAAiAFEATABEAFwAIgAsACAAMAA7AFwAbgAgACAAIAAgACAAIAAgACAAXAAiAEMAbwB0AHQAbwBuAFwAIgAsACAAXAAiAFMAQQBcACIALAAgADAAOwBcAG4AIAAgACAAIAAgACAAIAAgAFwAIgBDAG8AdAB0AG8AbgBcACIALAAgAFwAIgBXAEEAXAAiACwAIAAwADsAXABuACAAIAAgACAAIAAgACAAIABcACIAQwBvAHQAdABvAG4AXAAiACwAIABcACIAVABBAFMAXAAiACwAIAAwADsAXABuACAAIAAgACAAIAAgACAAIABcACIAQwBvAHQAdABvAG4AXAAiACwAIABcACIATgBUAFwAIgAsACAAMAA7AFwAbgAgACAAIAAgACAAIAAgACAAXAAiAEMAbwB0AHQAbwBuAFwAIgAsACAAXAAiAEEAQwBUAFwAIgAsACAAMAA7AFwAbgAgACAAIAAgACAAIAAgACAAXAAiAEgAbwBwAHMAXAAiACwAIABcACIATgBTAFcAXAAiACwAIAAwADsAXABuACAAIAAgACAAIAAgACAAIABcACIASABvAHAAcwBcACIALAAgAFwAIgBWAEkAQwBcACIALAAgADAAOwBcAG4AIAAgACAAIAAgACAAIAAgAFwAIgBIAG8AcABzAFwAIgAsACAAXAAiAFEATABEAFwAIgAsACAAMAA7AFwAbgAgACAAIAAgACAAIAAgACAAXAAiAEgAbwBwAHMAXAAiACwAIABcACIAUwBBAFwAIgAsACAAMAA7AFwAbgAgACAAIAAgACAAIAAgACAAXAAiAEgAbwBwAHMAXAAiACwAIABcACIAVwBBAFwAIgAsACAAMAA7AFwAbgAgACAAIAAgACAAIAAgACAAXAAiAEgAbwBwAHMAXAAiACwAIABcACIAVABBAFMAXAAiACwAIAAwADsAXABuACAAIAAgACAAIAAgACAAIABcACIASABvAHAAcwBcACIALAAgAFwAIgBOAFQAXAAiACwAIAAwADsAXABuACAAIAAgACAAIAAgACAAIABcACIASABvAHAAcwBcACIALAAgAFwAIgBBAEMAVABcACIALAAgADAAOwBcAG4AIAAgACAAIAAgACAAIAAgAFwAIgBGAG8AcgBhAGcAZQAgAGMAcgBvAHAAcwBcACIALAAgAFwAIgBOAFMAVwBcACIALAAgADAALgA4ADsAXABuACAAIAAgACAAIAAgACAAIABcACIARgBvAHIAYQBnAGUAIABjAHIAbwBwAHMAXAAiACwAIABcACIAVgBJAEMAXAAiACwAIAAwAC4AOAA7AFwAbgAgACAAIAAgACAAIAAgACAAXAAiAEYAbwByAGEAZwBlACAAYwByAG8AcABzAFwAIgAsACAAXAAiAFEATABEAFwAIgAsACAAMAAuADgAOwBcAG4AIAAgACAAIAAgACAAIAAgAFwAIgBGAG8AcgBhAGcAZQAgAGMAcgBvAHAAcwBcACIALAAgAFwAIgBTAEEAXAAiACwAIAAwAC4AOAA7AFwAbgAgACAAIAAgACAAIAAgACAAXAAiAEYAbwByAGEAZwBlACAAYwByAG8AcABzAFwAIgAsACAAXAAiAFcAQQBcACIALAAgADAALgA4ADsAXABuACAAIAAgACAAIAAgACAAIABcACIARgBvAHIAYQBnAGUAIABjAHIAbwBwAHMAXAAiACwAIABcACIAVABBAFMAXAAiACwAIAAwAC4AOAA7AFwAbgAgACAAIAAgACAAIAAgACAAXAAiAEYAbwByAGEAZwBlACAAYwByAG8AcABzAFwAIgAsACAAXAAiAE4AVABcACIALAAgADAALgA4ADsAXABuACAAIAAgACAAIAAgACAAIABcACIARgBvAHIAYQBnAGUAIABjAHIAbwBwAHMAXAAiACwAIABcACIAQQBDAFQAXAAiACwAIAAwAC4AOAA7AFwAbgAgACAAIAAgACAAIAAgACAAXAAiAFMAdQBnAGEAcgAgAEMAYQBuAGUAXAAiACwAIABcACIATgBTAFcAXAAiACwAIAAwADsAXABuACAAIAAgACAAIAAgACAAIABcACIAUwB1AGcAYQByACAAQwBhAG4AZQBcACIALAAgAFwAIgBWAEkAQwBcACIALAAgAFwAIgBOAC8AQQBcACIAOwBcAG4AIAAgACAAIAAgACAAIAAgAFwAIgBTAHUAZwBhAHIAIABDAGEAbgBlAFwAIgAsACAAXAAiAFEATABEAFwAIgAsACAAMAAuADAAMwA7AFwAbgAgACAAIAAgACAAIAAgACAAXAAiAFMAdQBnAGEAcgAgAEMAYQBuAGUAXAAiACwAIABcACIAUwBBAFwAIgAsACAAXAAiAE4ALwBBAFwAIgA7AFwAbgAgACAAIAAgACAAIAAgACAAXAAiAFMAdQBnAGEAcgAgAEMAYQBuAGUAXAAiACwAIABcACIAVwBBAFwAIgAsACAAMAA7AFwAbgAgACAAIAAgACAAIAAgACAAXAAiAFMAdQBnAGEAcgAgAEMAYQBuAGUAXAAiACwAIABcACIAVABBAFMAXAAiACwAIABcACIATgAvAEEAXAAiADsAXABuACAAIAAgACAAIAAgACAAIABcACIAUwB1AGcAYQByACAAQwBhAG4AZQBcACIALAAgAFwAIgBOAFQAXAAiACwAIABcACIATgAvAEEAXAAiADsAXABuACAAIAAgACAAIAAgACAAIABcACIAUwB1AGcAYQByACAAQwBhAG4AZQBcACIALAAgAFwAIgBBAEMAVABcACIALAAgAFwAIgBOAC8AQQBcACIAOwBcAG4AIAAgACAAIAAgACAAIAAgAFwAIgBXAGgAZQBhAHQAXAAiACwAIABcACIATgBTAFcAXAAiACwAIAAwAC4AMAA1ADsAXABuACAAIAAgACAAIAAgACAAIABcACIAVwBoAGUAYQB0AFwAIgAsACAAXAAiAFYASQBDAFwAIgAsACAAMAAuADAANwA7AFwAbgAgACAAIAAgACAAIAAgACAAXAAiAFcAaABlAGEAdABcACIALAAgAFwAIgBRAEwARABcACIALAAgADAALgAwADQAOwBcAG4AIAAgACAAIAAgACAAIAAgAFwAIgBXAGgAZQBhAHQAXAAiACwAIABcACIAUwBBAFwAIgAsACAAMAAuADAAOQA7AFwAbgAgACAAIAAgACAAIAAgACAAXAAiAFcAaABlAGEAdABcACIALAAgAFwAIgBXAEEAXAAiACwAIAAwAC4AMQAxADsAXABuACAAIAAgACAAIAAgACAAIABcACIAVwBoAGUAYQB0AFwAIgAsACAAXAAiAFQAQQBTAFwAIgAsACAAMAAuADEANgA7AFwAbgAgACAAIAAgACAAIAAgACAAXAAiAFcAaABlAGEAdABcACIALAAgAFwAIgBOAFQAXAAiACwAIAAwAC4AMAAxADsAXABuACAAIAAgACAAIAAgACAAIABcACIAVwBoAGUAYQB0AFwAIgAsACAAXAAiAEEAQwBUAFwAIgAsACAAMAAuADAAMAA7AFwAbgAgACAAIAAgACAAIAAgACAAXAAiAEIAYQByAGwAZQB5AFwAIgAsACAAXAAiAE4AUwBXAFwAIgAsACAAMAAuADAANQA7AFwAbgAgACAAIAAgACAAIAAgACAAXAAiAEIAYQByAGwAZQB5AFwAIgAsACAAXAAiAFYASQBDAFwAIgAsACAAMAAuADAANwA7AFwAbgAgACAAIAAgACAAIAAgACAAXAAiAEIAYQByAGwAZQB5AFwAIgAsACAAXAAiAFEATABEAFwAIgAsACAAMAAuADAANAA7AFwAbgAgACAAIAAgACAAIAAgACAAXAAiAEIAYQByAGwAZQB5AFwAIgAsACAAXAAiAFMAQQBcACIALAAgADAALgAwADkAOwBcAG4AIAAgACAAIAAgACAAIAAgAFwAIgBCAGEAcgBsAGUAeQBcACIALAAgAFwAIgBXAEEAXAAiACwAIAAwAC4AMQAxADsAXABuACAAIAAgACAAIAAgACAAIABcACIAQgBhAHIAbABlAHkAXAAiACwAIABcACIAVABBAFMAXAAiACwAIAAwAC4AMQA2ADsAXABuACAAIAAgACAAIAAgACAAIABcACIAQgBhAHIAbABlAHkAXAAiACwAIABcACIATgBUAFwAIgAsACAAMAAuADAAMQA7AFwAbgAgACAAIAAgACAAIAAgACAAXAAiAEIAYQByAGwAZQB5AFwAIgAsACAAXAAiAEEAQwBUAFwAIgAsACAAMAAuADAAMAA7AFwAbgAgACAAIAAgACAAIAAgACAAXAAiAE0AYQBpAHoAZQBcACIALAAgAFwAIgBOAFMAVwBcACIALAAgADAALgAwADUAOwBcAG4AIAAgACAAIAAgACAAIAAgAFwAIgBNAGEAaQB6AGUAXAAiACwAIABcACIAVgBJAEMAXAAiACwAIAAwAC4AMAA3ADsAXABuACAAIAAgACAAIAAgACAAIABcACIATQBhAGkAegBlAFwAIgAsACAAXAAiAFEATABEAFwAIgAsACAAMAAuADAANAA7AFwAbgAgACAAIAAgACAAIAAgACAAXAAiAE0AYQBpAHoAZQBcACIALAAgAFwAIgBTAEEAXAAiACwAIAAwAC4AMAA5ADsAXABuACAAIAAgACAAIAAgACAAIABcACIATQBhAGkAegBlAFwAIgAsACAAXAAiAFcAQQBcACIALAAgADAALgAxADEAOwBcAG4AIAAgACAAIAAgACAAIAAgAFwAIgBNAGEAaQB6AGUAXAAiACwAIABcACIAVABBAFMAXAAiACwAIAAwAC4AMQA2ADsAXABuACAAIAAgACAAIAAgACAAIABcACIATQBhAGkAegBlAFwAIgAsACAAXAAiAE4AVABcACIALAAgADAALgAwADEAOwBcAG4AIAAgACAAIAAgACAAIAAgAFwAIgBNAGEAaQB6AGUAXAAiACwAIABcACIAQQBDAFQAXAAiACwAIAAwAC4AMAAwADsAXABuACAAIAAgACAAIAAgACAAIABcACIATwBhAHQAcwBcACIALAAgAFwAIgBOAFMAVwBcACIALAAgADAALgAwADUAOwBcAG4AIAAgACAAIAAgACAAIAAgAFwAIgBPAGEAdABzAFwAIgAsACAAXAAiAFYASQBDAFwAIgAsACAAMAAuADAANwA7AFwAbgAgACAAIAAgACAAIAAgACAAXAAiAE8AYQB0AHMAXAAiACwAIABcACIAUQBMAEQAXAAiACwAIAAwAC4AMAA0ADsAXABuACAAIAAgACAAIAAgACAAIABcACIATwBhAHQAcwBcACIALAAgAFwAIgBTAEEAXAAiACwAIAAwAC4AMAA5ADsAXABuACAAIAAgACAAIAAgACAAIABcACIATwBhAHQAcwBcACIALAAgAFwAIgBXAEEAXAAiACwAIAAwAC4AMQAxADsAXABuACAAIAAgACAAIAAgACAAIABcACIATwBhAHQAcwBcACIALAAgAFwAIgBUAEEAUwBcACIALAAgADAALgAxADYAOwBcAG4AIAAgACAAIAAgACAAIAAgAFwAIgBPAGEAdABzAFwAIgAsACAAXAAiAE4AVABcACIALAAgADAALgAwADEAOwBcAG4AIAAgACAAIAAgACAAIAAgAFwAIgBPAGEAdABzAFwAIgAsACAAXAAiAEEAQwBUAFwAIgAsACAAMAAuADAAMAA7AFwAbgAgACAAIAAgACAAIAAgACAAXAAiAFMAbwByAGcAaAB1AG0AXAAiACwAIABcACIATgBTAFcAXAAiACwAIAAwAC4AMAA1ADsAXABuACAAIAAgACAAIAAgACAAIABcACIAUwBvAHIAZwBoAHUAbQBcACIALAAgAFwAIgBWAEkAQwBcACIALAAgADAALgAwADcAOwBcAG4AIAAgACAAIAAgACAAIAAgAFwAIgBTAG8AcgBnAGgAdQBtAFwAIgAsACAAXAAiAFEATABEAFwAIgAsACAAMAAuADAANAA7AFwAbgAgACAAIAAgACAAIAAgACAAXAAiAFMAbwByAGcAaAB1AG0AXAAiACwAIABcACIAUwBBAFwAIgAsACAAMAAuADAAOQA7AFwAbgAgACAAIAAgACAAIAAgACAAXAAiAFMAbwByAGcAaAB1AG0AXAAiACwAIABcACIAVwBBAFwAIgAsACAAMAAuADEAMQA7AFwAbgAgACAAIAAgACAAIAAgACAAXAAiAFMAbwByAGcAaAB1AG0AXAAiACwAIABcACIAVABBAFMAXAAiACwAIAAwAC4AMQA2ADsAXABuACAAIAAgACAAIAAgACAAIABcACIAUwBvAHIAZwBoAHUAbQBcACIALAAgAFwAIgBOAFQAXAAiACwAIAAwAC4AMAAxADsAXABuACAAIAAgACAAIAAgACAAIABcACIAUwBvAHIAZwBoAHUAbQBcACIALAAgAFwAIgBBAEMAVABcACIALAAgADAALgAwADAAOwBcAG4AIAAgACAAIAAgACAAIAAgAFwAIgBUAHIAaQB0AGkAYwBhAGwAZQBcACIALAAgAFwAIgBOAFMAVwBcACIALAAgADAALgAwADUAOwBcAG4AIAAgACAAIAAgACAAIAAgAFwAIgBUAHIAaQB0AGkAYwBhAGwAZQBcACIALAAgAFwAIgBWAEkAQwBcACIALAAgADAALgAwADcAOwBcAG4AIAAgACAAIAAgACAAIAAgAFwAIgBUAHIAaQB0AGkAYwBhAGwAZQBcACIALAAgAFwAIgBRAEwARABcACIALAAgADAALgAwADQAOwBcAG4AIAAgACAAIAAgACAAIAAgAFwAIgBUAHIAaQB0AGkAYwBhAGwAZQBcACIALAAgAFwAIgBTAEEAXAAiACwAIAAwAC4AMAA5ADsAXABuACAAIAAgACAAIAAgACAAIABcACIAVAByAGkAdABpAGMAYQBsAGUAXAAiACwAIABcACIAVwBBAFwAIgAsACAAMAAuADEAMQA7AFwAbgAgACAAIAAgACAAIAAgACAAXAAiAFQAcgBpAHQAaQBjAGEAbABlAFwAIgAsACAAXAAiAFQAQQBTAFwAIgAsACAAMAAuADEANgA7AFwAbgAgACAAIAAgACAAIAAgACAAXAAiAFQAcgBpAHQAaQBjAGEAbABlAFwAIgAsACAAXAAiAE4AVABcACIALAAgADAALgAwADEAOwBcAG4AIAAgACAAIAAgACAAIAAgAFwAIgBUAHIAaQB0AGkAYwBhAGwAZQBcACIALAAgAFwAIgBBAEMAVABcACIALAAgADAALgAwADAAOwBcAG4AIAAgACAAIAAgACAAIAAgAFwAIgBPAHQAaABlAHIAIABjAGUAcgBlAGEAbABzAFwAIgAsACAAXAAiAE4AUwBXAFwAIgAsACAAMAAuADAANQA7AFwAbgAgACAAIAAgACAAIAAgACAAXAAiAE8AdABoAGUAcgAgAGMAZQByAGUAYQBsAHMAXAAiACwAIABcACIAVgBJAEMAXAAiACwAIAAwAC4AMAA3ADsAXABuACAAIAAgACAAIAAgACAAIABcACIATwB0AGgAZQByACAAYwBlAHIAZQBhAGwAcwBcACIALAAgAFwAIgBRAEwARABcACIALAAgADAALgAwADQAOwBcAG4AIAAgACAAIAAgACAAIAAgAFwAIgBPAHQAaABlAHIAIABjAGUAcgBlAGEAbABzAFwAIgAsACAAXAAiAFMAQQBcACIALAAgADAALgAwADkAOwBcAG4AIAAgACAAIAAgACAAIAAgAFwAIgBPAHQAaABlAHIAIABjAGUAcgBlAGEAbABzAFwAIgAsACAAXAAiAFcAQQBcACIALAAgADAALgAxADEAOwBcAG4AIAAgACAAIAAgACAAIAAgAFwAIgBPAHQAaABlAHIAIABjAGUAcgBlAGEAbABzAFwAIgAsACAAXAAiAFQAQQBTAFwAIgAsACAAMAAuADEANgA7AFwAbgAgACAAIAAgACAAIAAgACAAXAAiAE8AdABoAGUAcgAgAGMAZQByAGUAYQBsAHMAXAAiACwAIABcACIATgBUAFwAIgAsACAAMAAuADAAMQA7AFwAbgAgACAAIAAgACAAIAAgACAAXAAiAE8AdABoAGUAcgAgAGMAZQByAGUAYQBsAHMAXAAiACwAIABcACIAQQBDAFQAXAAiACwAIAAwAC4AMAAwADsAXABuACAAIAAgACAAIAAgACAAIABcACIAUAB1AGwAcwBlAHMAXAAiACwAIABcACIATgBTAFcAXAAiACwAIAAwAC4AMAA1ADsAXABuACAAIAAgACAAIAAgACAAIABcACIAUAB1AGwAcwBlAHMAXAAiACwAIABcACIAVgBJAEMAXAAiACwAIAAwAC4AMAA3ADsAXABuACAAIAAgACAAIAAgACAAIABcACIAUAB1AGwAcwBlAHMAXAAiACwAIABcACIAUQBMAEQAXAAiACwAIAAwAC4AMAA0ADsAXABuACAAIAAgACAAIAAgACAAIABcACIAUAB1AGwAcwBlAHMAXAAiACwAIABcACIAUwBBAFwAIgAsACAAMAAuADAAOQA7AFwAbgAgACAAIAAgACAAIAAgACAAXAAiAFAAdQBsAHMAZQBzAFwAIgAsACAAXAAiAFcAQQBcACIALAAgADAALgAxADEAOwBcAG4AIAAgACAAIAAgACAAIAAgAFwAIgBQAHUAbABzAGUAcwBcACIALAAgAFwAIgBUAEEAUwBcACIALAAgADAALgAxADYAOwBcAG4AIAAgACAAIAAgACAAIAAgAFwAIgBQAHUAbABzAGUAcwBcACIALAAgAFwAIgBOAFQAXAAiACwAIAAwAC4AMAAxADsAXABuACAAIAAgACAAIAAgACAAIABcACIAUAB1AGwAcwBlAHMAXAAiACwAIABcACIAQQBDAFQAXAAiACwAIAAwAC4AMAAwADsAXABuACAAIAAgACAAIAAgACAAIABcACIAUABlAGEAbgB1AHQAcwBcACIALAAgAFwAIgBOAFMAVwBcACIALAAgADAALgAwADUAOwBcAG4AIAAgACAAIAAgACAAIAAgAFwAIgBQAGUAYQBuAHUAdABzAFwAIgAsACAAXAAiAFYASQBDAFwAIgAsACAAMAAuADAANwA7AFwAbgAgACAAIAAgACAAIAAgACAAXAAiAFAAZQBhAG4AdQB0AHMAXAAiACwAIABcACIAUQBMAEQAXAAiACwAIAAwAC4AMAA0ADsAXABuACAAIAAgACAAIAAgACAAIABcACIAUABlAGEAbgB1AHQAcwBcACIALAAgAFwAIgBTAEEAXAAiACwAIAAwAC4AMAA5ADsAXABuACAAIAAgACAAIAAgACAAIABcACIAUABlAGEAbgB1AHQAcwBcACIALAAgAFwAIgBXAEEAXAAiACwAIAAwAC4AMQAxADsAXABuACAAIAAgACAAIAAgACAAIABcACIAUABlAGEAbgB1AHQAcwBcACIALAAgAFwAIgBUAEEAUwBcACIALAAgADAALgAxADYAOwBcAG4AIAAgACAAIAAgACAAIAAgAFwAIgBQAGUAYQBuAHUAdABzAFwAIgAsACAAXAAiAE4AVABcACIALAAgADAALgAwADEAOwBcAG4AIAAgACAAIAAgACAAIAAgAFwAIgBQAGUAYQBuAHUAdABzAFwAIgAsACAAXAAiAEEAQwBUAFwAIgAsACAAMAAuADAAMAA7AFwAbgAgACAAIAAgACAAIAAgACAAXAAiAE8AaQBsAHMAZQBlAGQAcwBcACIALAAgAFwAIgBOAFMAVwBcACIALAAgADAALgAwADUAOwBcAG4AIAAgACAAIAAgACAAIAAgAFwAIgBPAGkAbABzAGUAZQBkAHMAXAAiACwAIABcACIAVgBJAEMAXAAiACwAIAAwAC4AMAA3ADsAXABuACAAIAAgACAAIAAgACAAIABcACIATwBpAGwAcwBlAGUAZABzAFwAIgAsACAAXAAiAFEATABEAFwAIgAsACAAMAAuADAANAA7AFwAbgAgACAAIAAgACAAIAAgACAAXAAiAE8AaQBsAHMAZQBlAGQAcwBcACIALAAgAFwAIgBTAEEAXAAiACwAIAAwAC4AMAA5ADsAXABuACAAIAAgACAAIAAgACAAIABcACIATwBpAGwAcwBlAGUAZABzAFwAIgAsACAAXAAiAFcAQQBcACIALAAgADAALgAxADEAOwBcAG4AIAAgACAAIAAgACAAIAAgAFwAIgBPAGkAbABzAGUAZQBkAHMAXAAiACwAIABcACIAVABBAFMAXAAiACwAIAAwAC4AMQA2ADsAXABuACAAIAAgACAAIAAgACAAIABcACIATwBpAGwAcwBlAGUAZABzAFwAIgAsACAAXAAiAE4AVABcACIALAAgADAALgAwADEAOwBcAG4AIAAgACAAIAAgACAAIAAgAFwAIgBPAGkAbABzAGUAZQBkAHMAXAAiACwAIABcACIAQQBDAFQAXAAiACwAIAAwAC4AMAAwADsAXABuACAAIAAgACAAIAAgACAAIABcACIATwB0AGgAZQByACAAYQBuAG4AdQBhAGwAIABjAHIAbwBwAHMAXAAiACwAIABcACIATgBTAFcAXAAiACwAIAAwAC4AMAA1ADsAXABuACAAIAAgACAAIAAgACAAIABcACIATwB0AGgAZQByACAAYQBuAG4AdQBhAGwAIABjAHIAbwBwAHMAXAAiACwAIABcACIAVgBJAEMAXAAiACwAIAAwAC4AMAA3ADsAXABuACAAIAAgACAAIAAgACAAIABcACIATwB0AGgAZQByACAAYQBuAG4AdQBhAGwAIABjAHIAbwBwAHMAXAAiACwAIABcACIAUQBMAEQAXAAiACwAIAAwAC4AMAA0ADsAXABuACAAIAAgACAAIAAgACAAIABcACIATwB0AGgAZQByACAAYQBuAG4AdQBhAGwAIABjAHIAbwBwAHMAXAAiACwAIABcACIAUwBBAFwAIgAsACAAMAAuADAAOQA7AFwAbgAgACAAIAAgACAAIAAgACAAXAAiAE8AdABoAGUAcgAgAGEAbgBuAHUAYQBsACAAYwByAG8AcABzAFwAIgAsACAAXAAiAFcAQQBcACIALAAgADAALgAxADEAOwBcAG4AIAAgACAAIAAgACAAIAAgAFwAIgBPAHQAaABlAHIAIABhAG4AbgB1AGEAbAAgAGMAcgBvAHAAcwBcACIALAAgAFwAIgBUAEEAUwBcACIALAAgADAALgAxADYAOwBcAG4AIAAgACAAIAAgACAAIAAgAFwAIgBPAHQAaABlAHIAIABhAG4AbgB1AGEAbAAgAGMAcgBvAHAAcwBcACIALAAgAFwAIgBOAFQAXAAiACwAIAAwAC4AMAAxADsAXABuACAAIAAgACAAIAAgACAAIABcACIATwB0AGgAZQByACAAYQBuAG4AdQBhAGwAIABjAHIAbwBwAHMAXAAiACwAIABcACIAQQBDAFQAXAAiACwAIAAwAC4AMAAwADsAXABuACAAIAAgACAAIAAgACAAIABcACIATwB0AGgAZQByACAAcABlAHIAZQBuAG4AaQBhAGwAIABjAHIAbwBwAHMAXAAiACwAIABcACIATgBTAFcAXAAiACwAIAAwAC4AMAA1ADsAXABuACAAIAAgACAAIAAgACAAIABcACIATwB0AGgAZQByACAAcABlAHIAZQBuAG4AaQBhAGwAIABjAHIAbwBwAHMAXAAiACwAIABcACIAVgBJAEMAXAAiACwAIAAwAC4AMAA3ADsAXABuACAAIAAgACAAIAAgACAAIABcACIATwB0AGgAZQByACAAcABlAHIAZQBuAG4AaQBhAGwAIABjAHIAbwBwAHMAXAAiACwAIABcACIAUQBMAEQAXAAiACwAIAAwAC4AMAA0ADsAXABuACAAIAAgACAAIAAgACAAIABcACIATwB0AGgAZQByACAAcABlAHIAZQBuAG4AaQBhAGwAIABjAHIAbwBwAHMAXAAiACwAIABcACIAUwBBAFwAIgAsACAAMAAuADAAOQA7AFwAbgAgACAAIAAgACAAIAAgACAAXAAiAE8AdABoAGUAcgAgAHAAZQByAGUAbgBuAGkAYQBsACAAYwByAG8AcABzAFwAIgAsACAAXAAiAFcAQQBcACIALAAgADAALgAxADEAOwBcAG4AIAAgACAAIAAgACAAIAAgAFwAIgBPAHQAaABlAHIAIABwAGUAcgBlAG4AbgBpAGEAbAAgAGMAcgBvAHAAcwBcACIALAAgAFwAIgBUAEEAUwBcACIALAAgADAALgAxADYAOwBcAG4AIAAgACAAIAAgACAAIAAgAFwAIgBPAHQAaABlAHIAIABwAGUAcgBlAG4AbgBpAGEAbAAgAGMAcgBvAHAAcwBcACIALAAgAFwAIgBOAFQAXAAiACwAIAAwAC4AMAAxADsAXABuACAAIAAgACAAIAAgACAAIABcACIATwB0AGgAZQByACAAcABlAHIAZQBuAG4AaQBhAGwAIABjAHIAbwBwAHMAXAAiACwAIABcACIAQQBDAFQAXAAiACwAIAAwAC4AMAAwAFwAbgAgACAAIAAgACAAIAB9ACwAIAByACwAIABjACkAXABuACkAKQApADsAXABuAFwAbgBDAHIAbwBwAEYAcgBhAGMAdABpAG8AbgBSAGUAbQBvAHYAZQBkAF8AVgBhAHIAaQBhAHQAaQBvAG4AXABuAD0ATABBAE0AQgBEAEEAKAAoAFwAIgBWAEEAUgBJAEEAVABJAE8ATgAgAE8ARgAgAFMATwBVAFIAQwBFACAARABBAFQAQQA6ACAAUwBwAGwAaQB0ACAAXAB1ADAAMAAyADcAQQBsAGwAIABvAHQAaABlAHIAIABjAHIAbwBwACAAdAB5AHAAZQBzAFwAdQAwADAAMgA3ACAAaQBuAHQAbwAgAGkAbgBkAGkAdgBpAGQAdQBhAGwAIABjAHIAbwBwACAAdAB5AHAAZQBzACAAZgBvAHIAIABlAGEAYwBoACAAcwB0AGEAdABlAC4AIABMAGkAcwB0AGUAZAAgAGEAbABsACAAcwB0AGEAdABlAHMAIABmAG8AcgAgAFMAdQBnAGEAcgAgAEMAYQBuAGUALAAgAHcAaQB0AGgAIABcAHUAMAAwADIANwBOAC8AQQBcAHUAMAAwADIAN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Bd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452</vt:i4>
      </vt:variant>
    </vt:vector>
  </HeadingPairs>
  <TitlesOfParts>
    <vt:vector size="506" baseType="lpstr">
      <vt:lpstr>Home</vt:lpstr>
      <vt:lpstr>Results - Activity period</vt:lpstr>
      <vt:lpstr>Results - Product EI</vt:lpstr>
      <vt:lpstr>Input - Enterprise</vt:lpstr>
      <vt:lpstr>Input - Site</vt:lpstr>
      <vt:lpstr>Input - Dairy</vt:lpstr>
      <vt:lpstr>Input - Livestock sales</vt:lpstr>
      <vt:lpstr>Input - Dairy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3.3.1.1-2 Enteric Methane</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Dairy</vt:lpstr>
      <vt:lpstr>Constants - Ag Residue</vt:lpstr>
      <vt:lpstr>Constants - Common Livestock</vt:lpstr>
      <vt:lpstr>Constants - Electricity</vt:lpstr>
      <vt:lpstr>Constants - Fertiliser</vt:lpstr>
      <vt:lpstr>Constants - Fuel</vt:lpstr>
      <vt:lpstr>Constants - Scope 3</vt:lpstr>
      <vt:lpstr>Constants - Common</vt:lpstr>
      <vt:lpstr>Results</vt:lpstr>
      <vt:lpstr>Constants - Solid Waste</vt:lpstr>
      <vt:lpstr>Acknowledgements</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M1_Table_AE_j</vt:lpstr>
      <vt:lpstr>M1_Table_AE_j_Consumer_1</vt:lpstr>
      <vt:lpstr>M1_Table_AE_j_Consumer_2</vt:lpstr>
      <vt:lpstr>M1_Table_AE_j124</vt:lpstr>
      <vt:lpstr>M1_Table_CP_j</vt:lpstr>
      <vt:lpstr>M1_Table_CPI_j</vt:lpstr>
      <vt:lpstr>'3.3.1.1-2 Enteric Methane'!M1_Table_D_j</vt:lpstr>
      <vt:lpstr>M1_Table_D_j</vt:lpstr>
      <vt:lpstr>M1_Table_D_j124</vt:lpstr>
      <vt:lpstr>M1_Table_D_j35</vt:lpstr>
      <vt:lpstr>M1_Table_D_j35_Consumer_1</vt:lpstr>
      <vt:lpstr>'3.3.1.1-2 Enteric Methane'!M1_Table_DMD_j</vt:lpstr>
      <vt:lpstr>M1_Table_DMD_j</vt:lpstr>
      <vt:lpstr>M1_Table_DPW_j</vt:lpstr>
      <vt:lpstr>M1_Table_DPW_j_Consumer_1</vt:lpstr>
      <vt:lpstr>M1_Table_DPW_j_Consumer_2</vt:lpstr>
      <vt:lpstr>M1_Table_DPW_j_Consumer_3</vt:lpstr>
      <vt:lpstr>M1_Table_DPW_j35</vt:lpstr>
      <vt:lpstr>M1_Table_E_CH4</vt:lpstr>
      <vt:lpstr>M1_Table_E_CH4_Consumer_1</vt:lpstr>
      <vt:lpstr>M1_Table_E_CO2</vt:lpstr>
      <vt:lpstr>M1_Table_E_enteric</vt:lpstr>
      <vt:lpstr>M1_Table_E_enteric_Consumer_1</vt:lpstr>
      <vt:lpstr>'6.3.1.1-2 Leach runoff pasture'!M1_Table_E_N2O</vt:lpstr>
      <vt:lpstr>M1_Table_E_N2O</vt:lpstr>
      <vt:lpstr>'6.3.1.1-2 Leach runoff pasture'!M1_Table_E_N2O_Consumer_1</vt:lpstr>
      <vt:lpstr>M1_Table_E_N2O_dir</vt:lpstr>
      <vt:lpstr>M1_Table_E_N2O_dir_Consumer_1</vt:lpstr>
      <vt:lpstr>M1_Table_EF_N2O_leach</vt:lpstr>
      <vt:lpstr>M1_Table_FVS_j_m</vt:lpstr>
      <vt:lpstr>M1_Table_FVS_j_m_Consumer_1</vt:lpstr>
      <vt:lpstr>M1_Table_FVS_j_m4</vt:lpstr>
      <vt:lpstr>'3.3.1.1-2 Enteric Methane'!M1_Table_I_j</vt:lpstr>
      <vt:lpstr>M1_Table_I_j</vt:lpstr>
      <vt:lpstr>M1_Table_I_j_Consumer_1</vt:lpstr>
      <vt:lpstr>M1_Table_L_j</vt:lpstr>
      <vt:lpstr>'3.3.1.1-2 Enteric Methane'!M1_Table_LWG_j</vt:lpstr>
      <vt:lpstr>M1_Table_LWG_j</vt:lpstr>
      <vt:lpstr>M1_Table_LWG_j_Consumer_1</vt:lpstr>
      <vt:lpstr>M1_Table_M_j</vt:lpstr>
      <vt:lpstr>'6.3.1.1-2 Leach runoff pasture'!M1_Table_M_leach_cp</vt:lpstr>
      <vt:lpstr>M1_Table_M_leach_M14</vt:lpstr>
      <vt:lpstr>M1_Table_M_vol_m14</vt:lpstr>
      <vt:lpstr>'3.3.1.1-2 Enteric Methane'!M1_Table_MI_j</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'3.3.1.1-2 Enteric Methane'!M1_Table_MP_j_from_solids</vt:lpstr>
      <vt:lpstr>M1_Table_MP_j_from_solids</vt:lpstr>
      <vt:lpstr>M1_Table_MP_j_from_solids_Consumer_1</vt:lpstr>
      <vt:lpstr>M1_Table_MPW_j35</vt:lpstr>
      <vt:lpstr>'3.3.1.1-2 Enteric Methane'!M1_Table_MS_j</vt:lpstr>
      <vt:lpstr>M1_Table_MS_j</vt:lpstr>
      <vt:lpstr>M1_Table_NE_j</vt:lpstr>
      <vt:lpstr>M1_Table_NR_j</vt:lpstr>
      <vt:lpstr>'3.3.1.1-2 Enteric Methane'!M1_Table_qm_j</vt:lpstr>
      <vt:lpstr>M1_Table_qm_j</vt:lpstr>
      <vt:lpstr>M1_Table_SS_m</vt:lpstr>
      <vt:lpstr>M1_Table_VS_j</vt:lpstr>
      <vt:lpstr>'3.3.1.1-2 Enteric Methane'!M1_Table_W_j</vt:lpstr>
      <vt:lpstr>M1_Table_W_j</vt:lpstr>
      <vt:lpstr>M1_Table_W_j_Consumer_1</vt:lpstr>
      <vt:lpstr>M1_Table_Z_j</vt:lpstr>
      <vt:lpstr>M1_Table_Z_j_Consumer_1</vt:lpstr>
      <vt:lpstr>M2_Table_AE_j</vt:lpstr>
      <vt:lpstr>M2_Table_AE_j124</vt:lpstr>
      <vt:lpstr>M2_Table_CP_j</vt:lpstr>
      <vt:lpstr>M2_Table_CPI_j</vt:lpstr>
      <vt:lpstr>'3.3.1.1-2 Enteric Methane'!M2_Table_D_j</vt:lpstr>
      <vt:lpstr>M2_Table_D_j</vt:lpstr>
      <vt:lpstr>M2_Table_D_j124</vt:lpstr>
      <vt:lpstr>'3.3.1.1-2 Enteric Methane'!M2_Table_DMD_j</vt:lpstr>
      <vt:lpstr>M2_Table_DMD_j</vt:lpstr>
      <vt:lpstr>M2_Table_DPW_j</vt:lpstr>
      <vt:lpstr>M2_Table_E_N2O_dir</vt:lpstr>
      <vt:lpstr>M2_Table_E_N2O_dir_Consumer_1</vt:lpstr>
      <vt:lpstr>M2_Table_EF_N2O_leach</vt:lpstr>
      <vt:lpstr>M2_Table_FertApplications</vt:lpstr>
      <vt:lpstr>M2_Table_FVS_j_m4</vt:lpstr>
      <vt:lpstr>'3.3.1.1-2 Enteric Methane'!M2_Table_I_j</vt:lpstr>
      <vt:lpstr>M2_Table_I_j</vt:lpstr>
      <vt:lpstr>M2_Table_I_j_Consumer_1</vt:lpstr>
      <vt:lpstr>M2_Table_L_j</vt:lpstr>
      <vt:lpstr>'3.3.1.1-2 Enteric Methane'!M2_Table_LWG_j</vt:lpstr>
      <vt:lpstr>M2_Table_LWG_j</vt:lpstr>
      <vt:lpstr>M2_Table_LWG_j_Consumer_1</vt:lpstr>
      <vt:lpstr>M2_Table_M_j</vt:lpstr>
      <vt:lpstr>'6.3.1.1-2 Leach runoff pasture'!M2_Table_M_leach_cp</vt:lpstr>
      <vt:lpstr>M2_Table_M_leach_M14</vt:lpstr>
      <vt:lpstr>M2_Table_M_vol_m14</vt:lpstr>
      <vt:lpstr>'3.3.1.1-2 Enteric Methane'!M2_Table_MI_j</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'3.3.1.1-2 Enteric Methane'!M2_Table_MP_j_from_solids</vt:lpstr>
      <vt:lpstr>M2_Table_MP_j_from_solids</vt:lpstr>
      <vt:lpstr>M2_Table_MP_j_from_solids_Consumer_1</vt:lpstr>
      <vt:lpstr>M2_Table_NE_j</vt:lpstr>
      <vt:lpstr>M2_Table_NR_j</vt:lpstr>
      <vt:lpstr>'3.3.1.1-2 Enteric Methane'!M2_Table_qm_j</vt:lpstr>
      <vt:lpstr>M2_Table_qm_j</vt:lpstr>
      <vt:lpstr>M2_Table_SS_m</vt:lpstr>
      <vt:lpstr>M2_Table_VS_j</vt:lpstr>
      <vt:lpstr>'3.3.1.1-2 Enteric Methane'!M2_Table_W_j</vt:lpstr>
      <vt:lpstr>M2_Table_W_j</vt:lpstr>
      <vt:lpstr>M2_Table_W_j_Consumer_1</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Result_Enterprise_Method1</vt:lpstr>
      <vt:lpstr>Result_Enterprise_Method2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'3.3.1.1-2 Enteric Methane'!SourceData_Dairy_FatContentInMilk_Data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'3.3.1.1-2 Enteric Methane'!SourceData_Dairy_ProteinContentInMilk_Data</vt:lpstr>
      <vt:lpstr>SourceData_Dairy_ProteinContentInMilk_Data</vt:lpstr>
      <vt:lpstr>Table_E_ad_inorganic</vt:lpstr>
      <vt:lpstr>Table_E_ad_organic</vt:lpstr>
      <vt:lpstr>Table_E_g</vt:lpstr>
      <vt:lpstr>Table_E_g_Consumer_1</vt:lpstr>
      <vt:lpstr>Table_E_g_offsite</vt:lpstr>
      <vt:lpstr>Table_E_g_onsite</vt:lpstr>
      <vt:lpstr>Table_E_lime</vt:lpstr>
      <vt:lpstr>Table_EF_m</vt:lpstr>
      <vt:lpstr>Table_EF_m_Consumer_1</vt:lpstr>
      <vt:lpstr>Table_FracGASM_m</vt:lpstr>
      <vt:lpstr>Table_FracGASM_m_Consumer_1</vt:lpstr>
      <vt:lpstr>Table_M_leach_inorganic_j</vt:lpstr>
      <vt:lpstr>Table_M_leach_organic_j</vt:lpstr>
      <vt:lpstr>Table_M_vol_inorganic_j_f</vt:lpstr>
      <vt:lpstr>Table_M_vol_organic_j_f</vt:lpstr>
      <vt:lpstr>Table_MN_j_f</vt:lpstr>
      <vt:lpstr>Table_MNSoil_j_f</vt:lpstr>
      <vt:lpstr>'3.3.1.1-2 Enteric Methane'!Table_MP_j</vt:lpstr>
      <vt:lpstr>Table_MP_j</vt:lpstr>
      <vt:lpstr>Table_MP_j_Consumer_1</vt:lpstr>
      <vt:lpstr>Table_MPW_manure_j35</vt:lpstr>
      <vt:lpstr>'3.3.1.1-2 Enteric Methane'!Table_MR_j</vt:lpstr>
      <vt:lpstr>Table_MR_j</vt:lpstr>
      <vt:lpstr>Table_MR_j_Consumer_1</vt:lpstr>
      <vt:lpstr>Table_MU_j_f</vt:lpstr>
      <vt:lpstr>'3.3.1.1-2 Enteric Methane'!Table_N_j</vt:lpstr>
      <vt:lpstr>Table_N_j</vt:lpstr>
      <vt:lpstr>Table_N_j_Consumer_1</vt:lpstr>
      <vt:lpstr>Table_NPW_j35</vt:lpstr>
      <vt:lpstr>Table_PF_fert</vt:lpstr>
      <vt:lpstr>Table_PF_scope</vt:lpstr>
      <vt:lpstr>Table_V_w_t_offsite</vt:lpstr>
      <vt:lpstr>Table_V_w_t_onsite</vt:lpstr>
      <vt:lpstr>Table_WR_j</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VEERG_3_3_1_1__1_TotalAnnualMethaneFromEntericFermentationVariation_Result_Method1</vt:lpstr>
      <vt:lpstr>VEERG_3_3_1_1__1_TotalAnnualMethaneFromEntericFermentationVariation_Result_Method2</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Scope 3'!VEERG_5_4_1_3__1_OrganicFertiliserAtmosphericDepositionN2OEmissions_Result_Method1</vt:lpstr>
      <vt:lpstr>'Input - Common farm inputs'!VEERG_5_4_1_3__1_OrganicFertiliserAtmosphericDepositionN2OEmissions_Result_Method1</vt:lpstr>
      <vt:lpstr>'Input - Crop pasture farm input'!VEERG_5_4_1_3__1_OrganicFertiliserAtmosphericDepositionN2OEmissions_Result_Method1</vt:lpstr>
      <vt:lpstr>'Input - Dairy cattle purchases'!VEERG_5_4_1_3__1_OrganicFertiliserAtmosphericDepositionN2OEmissions_Result_Method1</vt:lpstr>
      <vt:lpstr>'Input - Freight'!VEERG_5_4_1_3__1_OrganicFertiliserAtmosphericDepositionN2OEmissions_Result_Method1</vt:lpstr>
      <vt:lpstr>'Input - Livestock farm Inputs'!VEERG_5_4_1_3__1_OrganicFertiliserAtmosphericDepositionN2OEmissions_Result_Method1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Scope 3'!VEERG_5_5_1_1__1_FertiliserLeachingAndRunoffN2OEmissions_Result_Method1</vt:lpstr>
      <vt:lpstr>'Input - Common farm inputs'!VEERG_5_5_1_1__1_FertiliserLeachingAndRunoffN2OEmissions_Result_Method1</vt:lpstr>
      <vt:lpstr>'Input - Crop pasture farm input'!VEERG_5_5_1_1__1_FertiliserLeachingAndRunoffN2OEmissions_Result_Method1</vt:lpstr>
      <vt:lpstr>'Input - Dairy cattle purchases'!VEERG_5_5_1_1__1_FertiliserLeachingAndRunoffN2OEmissions_Result_Method1</vt:lpstr>
      <vt:lpstr>'Input - Freight'!VEERG_5_5_1_1__1_FertiliserLeachingAndRunoffN2OEmissions_Result_Method1</vt:lpstr>
      <vt:lpstr>'Input - Livestock farm Inputs'!VEERG_5_5_1_1__1_FertiliserLeachingAndRunoffN2OEmissions_Result_Method1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'6.3.1.1-2 Leach runoff pasture'!VEERG_6_3_1_1__1__LeachingAndRunoffEmissionsCropAndPastureResidue_Result_Method1</vt:lpstr>
      <vt:lpstr>'6.3.1.1-2 Leach runoff pasture'!VEERG_6_3_1_1__1__LeachingAndRunoffEmissionsCropAndPastureResidue_Result_Method2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X_Cell_Enterprise_ManureSoldTonnes</vt:lpstr>
      <vt:lpstr>X_Cell_Enterprise_ManureUsedAsFertiliserTonnes</vt:lpstr>
      <vt:lpstr>X_Cell_Enterprise_MilkProduced</vt:lpstr>
      <vt:lpstr>X_Cell_Enterprise_MilkProducedUnit</vt:lpstr>
      <vt:lpstr>X_Cell_Enterprise_PercentIncomeFromLiveweight</vt:lpstr>
      <vt:lpstr>X_Cell_Enterprise_PercentIncomeFromManure</vt:lpstr>
      <vt:lpstr>X_Cell_Enterprise_PercentIncomeFromMilk</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2026-08-26T10:03:59Z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